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9\shared\users\Universal\HYDRO-BLOK\Hydro-Blok USA Current Price List\Calculators\"/>
    </mc:Choice>
  </mc:AlternateContent>
  <xr:revisionPtr revIDLastSave="0" documentId="13_ncr:1_{1F078461-8799-4F98-AA04-A29F59C979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ator" sheetId="5" r:id="rId1"/>
    <sheet name="Materials List" sheetId="8" r:id="rId2"/>
    <sheet name="With Labor" sheetId="2" r:id="rId3"/>
    <sheet name="Layout" sheetId="4" state="hidden" r:id="rId4"/>
    <sheet name="PO" sheetId="7" r:id="rId5"/>
    <sheet name="Values" sheetId="3" r:id="rId6"/>
  </sheets>
  <definedNames>
    <definedName name="_xlnm.Print_Area" localSheetId="0">Calculator!$A$1:$H$87</definedName>
    <definedName name="_xlnm.Print_Area" localSheetId="3">Layout!$A$1:$AF$53</definedName>
    <definedName name="_xlnm.Print_Area" localSheetId="1">'Materials List'!$A$1:$G$58</definedName>
    <definedName name="_xlnm.Print_Area" localSheetId="4">PO!$A$1:$F$54</definedName>
    <definedName name="_xlnm.Print_Area" localSheetId="5">Values!$A$1:$D$82</definedName>
    <definedName name="_xlnm.Print_Area" localSheetId="2">'With Labor'!$A$1:$I$87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3" i="5" l="1"/>
  <c r="C39" i="3"/>
  <c r="K7" i="5"/>
  <c r="E20" i="2"/>
  <c r="A68" i="5"/>
  <c r="F68" i="5" s="1"/>
  <c r="L76" i="5"/>
  <c r="L20" i="5"/>
  <c r="L19" i="5"/>
  <c r="B68" i="5" l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63" i="5" l="1"/>
  <c r="A20" i="7" l="1"/>
  <c r="A19" i="7"/>
  <c r="D7" i="8"/>
  <c r="A48" i="8"/>
  <c r="D6" i="8"/>
  <c r="D5" i="8"/>
  <c r="G80" i="5"/>
  <c r="E41" i="8" s="1"/>
  <c r="B80" i="5"/>
  <c r="B41" i="8" s="1"/>
  <c r="A81" i="5"/>
  <c r="A74" i="2" s="1"/>
  <c r="A80" i="5"/>
  <c r="A73" i="2" s="1"/>
  <c r="B15" i="2"/>
  <c r="A49" i="2"/>
  <c r="A48" i="2"/>
  <c r="L5" i="5"/>
  <c r="L4" i="5"/>
  <c r="L3" i="5"/>
  <c r="G56" i="5"/>
  <c r="B17" i="2" s="1"/>
  <c r="G55" i="5"/>
  <c r="F48" i="2" s="1"/>
  <c r="G54" i="5"/>
  <c r="A17" i="8"/>
  <c r="A16" i="8"/>
  <c r="F56" i="5"/>
  <c r="F55" i="5"/>
  <c r="F54" i="5"/>
  <c r="F15" i="8" s="1"/>
  <c r="B56" i="5"/>
  <c r="B49" i="2" s="1"/>
  <c r="B55" i="5"/>
  <c r="B16" i="8" s="1"/>
  <c r="B54" i="5"/>
  <c r="E33" i="2"/>
  <c r="G79" i="5"/>
  <c r="D43" i="7" s="1"/>
  <c r="C41" i="3"/>
  <c r="C40" i="3"/>
  <c r="L84" i="5"/>
  <c r="B79" i="5"/>
  <c r="B40" i="8" s="1"/>
  <c r="B78" i="5"/>
  <c r="B42" i="7" s="1"/>
  <c r="F79" i="5"/>
  <c r="E43" i="7" s="1"/>
  <c r="F78" i="5"/>
  <c r="E42" i="7" s="1"/>
  <c r="G81" i="5"/>
  <c r="F74" i="2" s="1"/>
  <c r="L91" i="5"/>
  <c r="L90" i="5"/>
  <c r="L89" i="5"/>
  <c r="L88" i="5" s="1"/>
  <c r="L92" i="5"/>
  <c r="F80" i="5" s="1"/>
  <c r="E44" i="7" s="1"/>
  <c r="A79" i="5"/>
  <c r="A40" i="8" s="1"/>
  <c r="A78" i="5"/>
  <c r="A42" i="7" s="1"/>
  <c r="E49" i="2" l="1"/>
  <c r="F17" i="8"/>
  <c r="E48" i="2"/>
  <c r="G48" i="2" s="1"/>
  <c r="F16" i="8"/>
  <c r="D20" i="7"/>
  <c r="B19" i="7"/>
  <c r="E19" i="7"/>
  <c r="B20" i="7"/>
  <c r="E20" i="7"/>
  <c r="A44" i="7"/>
  <c r="B44" i="7"/>
  <c r="D44" i="7"/>
  <c r="F44" i="7" s="1"/>
  <c r="D19" i="7"/>
  <c r="B73" i="2"/>
  <c r="F41" i="8"/>
  <c r="G41" i="8" s="1"/>
  <c r="E73" i="2"/>
  <c r="A41" i="8"/>
  <c r="B16" i="2"/>
  <c r="H80" i="5"/>
  <c r="F73" i="2"/>
  <c r="H56" i="5"/>
  <c r="F49" i="2"/>
  <c r="B17" i="8"/>
  <c r="E16" i="8"/>
  <c r="E17" i="8"/>
  <c r="B48" i="2"/>
  <c r="H55" i="5"/>
  <c r="F81" i="5"/>
  <c r="H81" i="5" s="1"/>
  <c r="B81" i="5"/>
  <c r="F43" i="7"/>
  <c r="A39" i="8"/>
  <c r="B39" i="8"/>
  <c r="F40" i="8"/>
  <c r="A72" i="2"/>
  <c r="B72" i="2"/>
  <c r="E72" i="2"/>
  <c r="A43" i="7"/>
  <c r="B43" i="7"/>
  <c r="H79" i="5"/>
  <c r="E40" i="8"/>
  <c r="F39" i="8"/>
  <c r="A71" i="2"/>
  <c r="B71" i="2"/>
  <c r="E71" i="2"/>
  <c r="A45" i="7"/>
  <c r="A42" i="8"/>
  <c r="D45" i="7"/>
  <c r="E42" i="8"/>
  <c r="F72" i="2"/>
  <c r="A86" i="2"/>
  <c r="A57" i="8"/>
  <c r="A86" i="5"/>
  <c r="C76" i="3"/>
  <c r="K4" i="5"/>
  <c r="A58" i="5"/>
  <c r="A57" i="5"/>
  <c r="K59" i="5"/>
  <c r="K58" i="5"/>
  <c r="K57" i="5"/>
  <c r="K56" i="5"/>
  <c r="G49" i="2" l="1"/>
  <c r="F20" i="7"/>
  <c r="F19" i="7"/>
  <c r="G73" i="2"/>
  <c r="G17" i="8"/>
  <c r="G16" i="8"/>
  <c r="G40" i="8"/>
  <c r="G72" i="2"/>
  <c r="E35" i="2"/>
  <c r="B45" i="7"/>
  <c r="B74" i="2"/>
  <c r="B42" i="8"/>
  <c r="E74" i="2"/>
  <c r="G74" i="2" s="1"/>
  <c r="E45" i="7"/>
  <c r="F45" i="7" s="1"/>
  <c r="F42" i="8"/>
  <c r="G42" i="8" s="1"/>
  <c r="A60" i="5"/>
  <c r="A59" i="5"/>
  <c r="B59" i="5" s="1"/>
  <c r="L23" i="5"/>
  <c r="L21" i="5"/>
  <c r="C70" i="3"/>
  <c r="C71" i="3"/>
  <c r="C69" i="3"/>
  <c r="C68" i="3"/>
  <c r="C67" i="3"/>
  <c r="C65" i="3"/>
  <c r="K6" i="5"/>
  <c r="K55" i="5"/>
  <c r="K54" i="5"/>
  <c r="K53" i="5"/>
  <c r="K52" i="5"/>
  <c r="E3" i="7"/>
  <c r="E2" i="7"/>
  <c r="L22" i="5"/>
  <c r="L18" i="5"/>
  <c r="L17" i="5"/>
  <c r="L16" i="5"/>
  <c r="B57" i="5"/>
  <c r="B58" i="5"/>
  <c r="F60" i="5"/>
  <c r="G61" i="5" l="1"/>
  <c r="B60" i="5"/>
  <c r="F59" i="5"/>
  <c r="F58" i="5"/>
  <c r="F57" i="5"/>
  <c r="M13" i="5"/>
  <c r="A62" i="5" s="1"/>
  <c r="M12" i="5"/>
  <c r="F77" i="5"/>
  <c r="F38" i="8" s="1"/>
  <c r="B77" i="5"/>
  <c r="A77" i="5"/>
  <c r="F76" i="5"/>
  <c r="B76" i="5"/>
  <c r="A76" i="5"/>
  <c r="F75" i="5"/>
  <c r="B75" i="5"/>
  <c r="A75" i="5"/>
  <c r="F74" i="5"/>
  <c r="B74" i="5"/>
  <c r="A74" i="5"/>
  <c r="F73" i="5"/>
  <c r="B73" i="5"/>
  <c r="A73" i="5"/>
  <c r="F72" i="5"/>
  <c r="B72" i="5"/>
  <c r="A72" i="5"/>
  <c r="F71" i="5"/>
  <c r="B71" i="5"/>
  <c r="A71" i="5"/>
  <c r="F70" i="5"/>
  <c r="B70" i="5"/>
  <c r="A70" i="5"/>
  <c r="F69" i="5"/>
  <c r="B69" i="5"/>
  <c r="A69" i="5"/>
  <c r="A67" i="5"/>
  <c r="B67" i="5" s="1"/>
  <c r="N73" i="5"/>
  <c r="N72" i="5"/>
  <c r="N71" i="5"/>
  <c r="N70" i="5"/>
  <c r="A66" i="5"/>
  <c r="B66" i="5" s="1"/>
  <c r="N67" i="5"/>
  <c r="N66" i="5"/>
  <c r="N65" i="5"/>
  <c r="N64" i="5"/>
  <c r="N63" i="5"/>
  <c r="K83" i="5"/>
  <c r="A65" i="5" s="1"/>
  <c r="K80" i="5"/>
  <c r="A64" i="5" s="1"/>
  <c r="F63" i="5"/>
  <c r="B63" i="5"/>
  <c r="A63" i="5"/>
  <c r="F61" i="5"/>
  <c r="B61" i="5"/>
  <c r="A61" i="5"/>
  <c r="L86" i="5" l="1"/>
  <c r="G78" i="5"/>
  <c r="B65" i="5"/>
  <c r="F65" i="5"/>
  <c r="A35" i="2"/>
  <c r="B64" i="5"/>
  <c r="A34" i="2"/>
  <c r="F64" i="5"/>
  <c r="B62" i="5"/>
  <c r="F62" i="5"/>
  <c r="F67" i="5"/>
  <c r="F66" i="5"/>
  <c r="C79" i="3"/>
  <c r="C74" i="3"/>
  <c r="L77" i="5"/>
  <c r="L75" i="5"/>
  <c r="L81" i="5"/>
  <c r="L80" i="5"/>
  <c r="L73" i="5"/>
  <c r="L72" i="5"/>
  <c r="L71" i="5"/>
  <c r="L70" i="5"/>
  <c r="L67" i="5"/>
  <c r="M4" i="5" l="1"/>
  <c r="M76" i="5"/>
  <c r="O20" i="5"/>
  <c r="O19" i="5"/>
  <c r="D42" i="7"/>
  <c r="F42" i="7" s="1"/>
  <c r="E39" i="8"/>
  <c r="G39" i="8" s="1"/>
  <c r="F71" i="2"/>
  <c r="G71" i="2" s="1"/>
  <c r="H78" i="5"/>
  <c r="O23" i="5"/>
  <c r="O21" i="5"/>
  <c r="O18" i="5"/>
  <c r="O16" i="5"/>
  <c r="M86" i="5"/>
  <c r="O22" i="5"/>
  <c r="O17" i="5"/>
  <c r="L66" i="5"/>
  <c r="L65" i="5"/>
  <c r="L64" i="5"/>
  <c r="L63" i="5"/>
  <c r="G67" i="5"/>
  <c r="G66" i="5"/>
  <c r="E27" i="2"/>
  <c r="E26" i="2"/>
  <c r="E25" i="2"/>
  <c r="L6" i="5"/>
  <c r="K9" i="5"/>
  <c r="L9" i="5" s="1"/>
  <c r="K8" i="5"/>
  <c r="L8" i="5" s="1"/>
  <c r="K5" i="5"/>
  <c r="K3" i="5"/>
  <c r="G73" i="5"/>
  <c r="F66" i="2" s="1"/>
  <c r="G72" i="5"/>
  <c r="F65" i="2" s="1"/>
  <c r="E65" i="2"/>
  <c r="A37" i="7"/>
  <c r="A65" i="2"/>
  <c r="B37" i="7"/>
  <c r="B36" i="7"/>
  <c r="B23" i="2"/>
  <c r="E51" i="2"/>
  <c r="B19" i="8"/>
  <c r="A22" i="7"/>
  <c r="G58" i="5"/>
  <c r="D22" i="7" s="1"/>
  <c r="E32" i="2"/>
  <c r="G77" i="5"/>
  <c r="B41" i="7"/>
  <c r="A41" i="7"/>
  <c r="H73" i="5" l="1"/>
  <c r="F70" i="2"/>
  <c r="E38" i="8"/>
  <c r="G38" i="8" s="1"/>
  <c r="L7" i="5"/>
  <c r="D37" i="7"/>
  <c r="F34" i="8"/>
  <c r="B65" i="2"/>
  <c r="A66" i="2"/>
  <c r="E66" i="2"/>
  <c r="G66" i="2" s="1"/>
  <c r="A33" i="8"/>
  <c r="B33" i="8"/>
  <c r="A36" i="7"/>
  <c r="E36" i="7"/>
  <c r="E37" i="7"/>
  <c r="F33" i="8"/>
  <c r="B66" i="2"/>
  <c r="A34" i="8"/>
  <c r="B34" i="8"/>
  <c r="D36" i="7"/>
  <c r="E34" i="8"/>
  <c r="E33" i="8"/>
  <c r="G65" i="2"/>
  <c r="H72" i="5"/>
  <c r="A19" i="8"/>
  <c r="F19" i="8"/>
  <c r="B51" i="2"/>
  <c r="F51" i="2"/>
  <c r="G51" i="2" s="1"/>
  <c r="B22" i="7"/>
  <c r="E22" i="7"/>
  <c r="F22" i="7" s="1"/>
  <c r="E19" i="8"/>
  <c r="A51" i="2"/>
  <c r="H58" i="5"/>
  <c r="D41" i="7"/>
  <c r="B70" i="2"/>
  <c r="A70" i="2"/>
  <c r="E70" i="2"/>
  <c r="H77" i="5"/>
  <c r="B38" i="8"/>
  <c r="E41" i="7"/>
  <c r="A38" i="8"/>
  <c r="E54" i="2"/>
  <c r="B25" i="7"/>
  <c r="A54" i="2"/>
  <c r="C66" i="3"/>
  <c r="C64" i="3"/>
  <c r="C63" i="3"/>
  <c r="C62" i="3"/>
  <c r="C61" i="3"/>
  <c r="B14" i="7"/>
  <c r="B13" i="7"/>
  <c r="B12" i="7"/>
  <c r="B11" i="7"/>
  <c r="B10" i="7"/>
  <c r="B9" i="7"/>
  <c r="B8" i="7"/>
  <c r="B11" i="2"/>
  <c r="B10" i="2"/>
  <c r="B9" i="2"/>
  <c r="B8" i="2"/>
  <c r="B7" i="2"/>
  <c r="B6" i="2"/>
  <c r="B5" i="2"/>
  <c r="B11" i="8"/>
  <c r="B10" i="8"/>
  <c r="B9" i="8"/>
  <c r="B8" i="8"/>
  <c r="B7" i="8"/>
  <c r="B6" i="8"/>
  <c r="B5" i="8"/>
  <c r="H1" i="2"/>
  <c r="B34" i="2"/>
  <c r="A82" i="3"/>
  <c r="G70" i="2" l="1"/>
  <c r="F36" i="7"/>
  <c r="F37" i="7"/>
  <c r="F41" i="7"/>
  <c r="G19" i="8"/>
  <c r="A22" i="8"/>
  <c r="F22" i="8"/>
  <c r="B54" i="2"/>
  <c r="A25" i="7"/>
  <c r="E25" i="7"/>
  <c r="B22" i="8"/>
  <c r="F1" i="8"/>
  <c r="G1" i="5"/>
  <c r="E31" i="2" l="1"/>
  <c r="E30" i="2"/>
  <c r="E29" i="2"/>
  <c r="E28" i="2"/>
  <c r="E24" i="2"/>
  <c r="E23" i="2"/>
  <c r="G76" i="5"/>
  <c r="E37" i="8" s="1"/>
  <c r="G75" i="5"/>
  <c r="E36" i="8" s="1"/>
  <c r="G74" i="5"/>
  <c r="E35" i="8" s="1"/>
  <c r="F37" i="8"/>
  <c r="F36" i="8"/>
  <c r="F35" i="8"/>
  <c r="B37" i="8"/>
  <c r="B36" i="8"/>
  <c r="B35" i="8"/>
  <c r="A37" i="8"/>
  <c r="A36" i="8"/>
  <c r="A35" i="8"/>
  <c r="G71" i="5"/>
  <c r="G70" i="5"/>
  <c r="E31" i="8" s="1"/>
  <c r="F32" i="8"/>
  <c r="F31" i="8"/>
  <c r="B32" i="8"/>
  <c r="B31" i="8"/>
  <c r="A32" i="8"/>
  <c r="A31" i="8"/>
  <c r="E21" i="2"/>
  <c r="J35" i="2" s="1"/>
  <c r="E19" i="2"/>
  <c r="J32" i="2" s="1"/>
  <c r="E17" i="2"/>
  <c r="J29" i="2" s="1"/>
  <c r="E15" i="2"/>
  <c r="J26" i="2" s="1"/>
  <c r="B35" i="2"/>
  <c r="J23" i="2" s="1"/>
  <c r="B30" i="2"/>
  <c r="B25" i="2"/>
  <c r="B24" i="2"/>
  <c r="B22" i="2"/>
  <c r="B21" i="2"/>
  <c r="J19" i="2" s="1"/>
  <c r="J16" i="2"/>
  <c r="G69" i="5"/>
  <c r="A62" i="2"/>
  <c r="G68" i="5"/>
  <c r="E61" i="2"/>
  <c r="G65" i="5"/>
  <c r="F58" i="2" s="1"/>
  <c r="G64" i="5"/>
  <c r="B57" i="2"/>
  <c r="G60" i="5"/>
  <c r="E21" i="8" s="1"/>
  <c r="G59" i="5"/>
  <c r="E52" i="2"/>
  <c r="A52" i="2"/>
  <c r="G57" i="5"/>
  <c r="E50" i="2"/>
  <c r="A50" i="2"/>
  <c r="C57" i="3"/>
  <c r="C59" i="3"/>
  <c r="C58" i="3"/>
  <c r="M8" i="5" l="1"/>
  <c r="M6" i="5"/>
  <c r="M9" i="5"/>
  <c r="M7" i="5"/>
  <c r="M72" i="5"/>
  <c r="M83" i="5"/>
  <c r="M67" i="5"/>
  <c r="M73" i="5"/>
  <c r="M84" i="5"/>
  <c r="M70" i="5"/>
  <c r="M80" i="5"/>
  <c r="M75" i="5"/>
  <c r="M71" i="5"/>
  <c r="M81" i="5"/>
  <c r="M77" i="5"/>
  <c r="M65" i="5"/>
  <c r="M66" i="5"/>
  <c r="M63" i="5"/>
  <c r="M64" i="5"/>
  <c r="B28" i="5"/>
  <c r="E15" i="8"/>
  <c r="G31" i="8"/>
  <c r="M5" i="5"/>
  <c r="E32" i="8"/>
  <c r="G32" i="8" s="1"/>
  <c r="G34" i="8"/>
  <c r="G33" i="8"/>
  <c r="G36" i="8"/>
  <c r="D25" i="7"/>
  <c r="F25" i="7" s="1"/>
  <c r="E22" i="8"/>
  <c r="G22" i="8" s="1"/>
  <c r="H61" i="5"/>
  <c r="F54" i="2"/>
  <c r="J20" i="2" s="1"/>
  <c r="G35" i="8"/>
  <c r="G37" i="8"/>
  <c r="D23" i="7"/>
  <c r="E20" i="8"/>
  <c r="D31" i="7"/>
  <c r="E28" i="8"/>
  <c r="D32" i="7"/>
  <c r="E29" i="8"/>
  <c r="D33" i="7"/>
  <c r="E30" i="8"/>
  <c r="D24" i="7"/>
  <c r="F53" i="2"/>
  <c r="D28" i="7"/>
  <c r="E25" i="8"/>
  <c r="D29" i="7"/>
  <c r="E26" i="8"/>
  <c r="D30" i="7"/>
  <c r="E27" i="8"/>
  <c r="F52" i="2"/>
  <c r="G52" i="2" s="1"/>
  <c r="F57" i="2"/>
  <c r="B23" i="7"/>
  <c r="B20" i="8"/>
  <c r="B24" i="7"/>
  <c r="B21" i="8"/>
  <c r="A27" i="7"/>
  <c r="A24" i="8"/>
  <c r="E27" i="7"/>
  <c r="F24" i="8"/>
  <c r="A28" i="7"/>
  <c r="A25" i="8"/>
  <c r="E28" i="7"/>
  <c r="F25" i="8"/>
  <c r="A29" i="7"/>
  <c r="A26" i="8"/>
  <c r="E29" i="7"/>
  <c r="F26" i="8"/>
  <c r="A30" i="7"/>
  <c r="A27" i="8"/>
  <c r="H66" i="5"/>
  <c r="F27" i="8"/>
  <c r="B32" i="7"/>
  <c r="B29" i="8"/>
  <c r="B33" i="7"/>
  <c r="B30" i="8"/>
  <c r="A31" i="7"/>
  <c r="A28" i="8"/>
  <c r="E31" i="7"/>
  <c r="F28" i="8"/>
  <c r="H70" i="5"/>
  <c r="H75" i="5"/>
  <c r="A69" i="2"/>
  <c r="E56" i="2"/>
  <c r="E69" i="2"/>
  <c r="B34" i="7"/>
  <c r="A35" i="7"/>
  <c r="E35" i="7"/>
  <c r="B38" i="7"/>
  <c r="A39" i="7"/>
  <c r="E39" i="7"/>
  <c r="B40" i="7"/>
  <c r="A56" i="2"/>
  <c r="A58" i="2"/>
  <c r="A64" i="2"/>
  <c r="A68" i="2"/>
  <c r="B53" i="2"/>
  <c r="B61" i="2"/>
  <c r="B63" i="2"/>
  <c r="B67" i="2"/>
  <c r="E57" i="2"/>
  <c r="E63" i="2"/>
  <c r="E67" i="2"/>
  <c r="A23" i="7"/>
  <c r="A20" i="8"/>
  <c r="H59" i="5"/>
  <c r="F20" i="8"/>
  <c r="A24" i="7"/>
  <c r="A21" i="8"/>
  <c r="E24" i="7"/>
  <c r="F21" i="8"/>
  <c r="G21" i="8" s="1"/>
  <c r="B27" i="7"/>
  <c r="B24" i="8"/>
  <c r="B28" i="7"/>
  <c r="B25" i="8"/>
  <c r="B29" i="7"/>
  <c r="B26" i="8"/>
  <c r="B30" i="7"/>
  <c r="B27" i="8"/>
  <c r="A32" i="7"/>
  <c r="A29" i="8"/>
  <c r="E32" i="7"/>
  <c r="F29" i="8"/>
  <c r="A33" i="7"/>
  <c r="A30" i="8"/>
  <c r="E33" i="7"/>
  <c r="F30" i="8"/>
  <c r="B31" i="7"/>
  <c r="B28" i="8"/>
  <c r="H71" i="5"/>
  <c r="H74" i="5"/>
  <c r="H76" i="5"/>
  <c r="B69" i="2"/>
  <c r="E53" i="2"/>
  <c r="A34" i="7"/>
  <c r="E34" i="7"/>
  <c r="B35" i="7"/>
  <c r="A38" i="7"/>
  <c r="E38" i="7"/>
  <c r="B39" i="7"/>
  <c r="A40" i="7"/>
  <c r="E40" i="7"/>
  <c r="A53" i="2"/>
  <c r="A57" i="2"/>
  <c r="A61" i="2"/>
  <c r="A63" i="2"/>
  <c r="A67" i="2"/>
  <c r="B52" i="2"/>
  <c r="B56" i="2"/>
  <c r="B58" i="2"/>
  <c r="B62" i="2"/>
  <c r="B64" i="2"/>
  <c r="B68" i="2"/>
  <c r="E58" i="2"/>
  <c r="G58" i="2" s="1"/>
  <c r="E62" i="2"/>
  <c r="E64" i="2"/>
  <c r="E68" i="2"/>
  <c r="D27" i="7"/>
  <c r="E24" i="8"/>
  <c r="B26" i="7"/>
  <c r="B23" i="8"/>
  <c r="A26" i="7"/>
  <c r="A23" i="8"/>
  <c r="E26" i="7"/>
  <c r="F23" i="8"/>
  <c r="B21" i="7"/>
  <c r="B18" i="8"/>
  <c r="D21" i="7"/>
  <c r="E18" i="8"/>
  <c r="B50" i="2"/>
  <c r="A21" i="7"/>
  <c r="A18" i="8"/>
  <c r="E21" i="7"/>
  <c r="F18" i="8"/>
  <c r="F50" i="2"/>
  <c r="G50" i="2" s="1"/>
  <c r="B18" i="7"/>
  <c r="B15" i="8"/>
  <c r="A18" i="7"/>
  <c r="A15" i="8"/>
  <c r="E18" i="7"/>
  <c r="E60" i="2"/>
  <c r="A60" i="2"/>
  <c r="B60" i="2"/>
  <c r="A55" i="2"/>
  <c r="A59" i="2"/>
  <c r="B55" i="2"/>
  <c r="B59" i="2"/>
  <c r="E59" i="2"/>
  <c r="F69" i="2"/>
  <c r="D40" i="7"/>
  <c r="F68" i="2"/>
  <c r="D39" i="7"/>
  <c r="F67" i="2"/>
  <c r="D38" i="7"/>
  <c r="F64" i="2"/>
  <c r="D35" i="7"/>
  <c r="F63" i="2"/>
  <c r="D34" i="7"/>
  <c r="F62" i="2"/>
  <c r="F61" i="2"/>
  <c r="G61" i="2" s="1"/>
  <c r="F60" i="2"/>
  <c r="F59" i="2"/>
  <c r="B47" i="2"/>
  <c r="F56" i="2"/>
  <c r="A47" i="2"/>
  <c r="E47" i="2"/>
  <c r="E55" i="2"/>
  <c r="E30" i="7"/>
  <c r="E23" i="7"/>
  <c r="H67" i="5"/>
  <c r="H60" i="5"/>
  <c r="H57" i="5"/>
  <c r="H69" i="5"/>
  <c r="H68" i="5"/>
  <c r="H63" i="5"/>
  <c r="H64" i="5"/>
  <c r="H65" i="5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38" i="3"/>
  <c r="B36" i="2" l="1"/>
  <c r="G28" i="8"/>
  <c r="G53" i="2"/>
  <c r="G25" i="8"/>
  <c r="G59" i="2"/>
  <c r="G27" i="8"/>
  <c r="G26" i="8"/>
  <c r="E16" i="2"/>
  <c r="M3" i="5"/>
  <c r="H54" i="5"/>
  <c r="D18" i="7"/>
  <c r="F18" i="7" s="1"/>
  <c r="F47" i="2"/>
  <c r="G47" i="2" s="1"/>
  <c r="G15" i="8"/>
  <c r="G24" i="8"/>
  <c r="G54" i="2"/>
  <c r="F28" i="7"/>
  <c r="F30" i="7"/>
  <c r="G69" i="2"/>
  <c r="F27" i="7"/>
  <c r="G57" i="2"/>
  <c r="B37" i="2" s="1"/>
  <c r="G56" i="2"/>
  <c r="G62" i="2"/>
  <c r="E22" i="2" s="1"/>
  <c r="G63" i="2"/>
  <c r="G30" i="8"/>
  <c r="G29" i="8"/>
  <c r="G20" i="8"/>
  <c r="F31" i="7"/>
  <c r="G68" i="2"/>
  <c r="F29" i="7"/>
  <c r="F23" i="7"/>
  <c r="F34" i="7"/>
  <c r="F39" i="7"/>
  <c r="F40" i="7"/>
  <c r="F33" i="7"/>
  <c r="F32" i="7"/>
  <c r="F24" i="7"/>
  <c r="G64" i="2"/>
  <c r="G67" i="2"/>
  <c r="F21" i="7"/>
  <c r="F35" i="7"/>
  <c r="F38" i="7"/>
  <c r="G18" i="8"/>
  <c r="G60" i="2"/>
  <c r="E18" i="2" s="1"/>
  <c r="B26" i="2" l="1"/>
  <c r="B18" i="2"/>
  <c r="K12" i="5"/>
  <c r="K13" i="5" l="1"/>
  <c r="B30" i="5" s="1"/>
  <c r="B29" i="2"/>
  <c r="G62" i="5" l="1"/>
  <c r="B31" i="2"/>
  <c r="H62" i="5" l="1"/>
  <c r="H82" i="5" s="1"/>
  <c r="D26" i="7"/>
  <c r="F26" i="7" s="1"/>
  <c r="F46" i="7" s="1"/>
  <c r="E23" i="8"/>
  <c r="G23" i="8" s="1"/>
  <c r="G43" i="8" s="1"/>
  <c r="F55" i="2"/>
  <c r="G55" i="2" s="1"/>
  <c r="G75" i="2" s="1"/>
  <c r="G44" i="8" l="1"/>
  <c r="G45" i="8" s="1"/>
  <c r="F33" i="5"/>
  <c r="F35" i="5" s="1"/>
  <c r="E38" i="2"/>
  <c r="B39" i="2" l="1"/>
  <c r="B40" i="2" s="1"/>
  <c r="E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Winter</author>
  </authors>
  <commentList>
    <comment ref="K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K5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6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7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8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8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9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oz. sealant per sheet</t>
        </r>
      </text>
    </comment>
    <comment ref="L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12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Total tubes needed</t>
        </r>
      </text>
    </comment>
    <comment ref="K13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Total tubes needed</t>
        </r>
      </text>
    </comment>
    <comment ref="B15" authorId="0" shapeId="0" xr:uid="{5BD9AFCD-4A3A-46FA-90A8-C601E1909F4E}">
      <text>
        <r>
          <rPr>
            <b/>
            <sz val="8"/>
            <color indexed="81"/>
            <rFont val="Calibri"/>
            <family val="2"/>
            <scheme val="minor"/>
          </rPr>
          <t>Enter Sq. Ft</t>
        </r>
      </text>
    </comment>
    <comment ref="F15" authorId="0" shapeId="0" xr:uid="{23A6D1F1-F195-4577-9F68-6321B20E68A0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B16" authorId="0" shapeId="0" xr:uid="{B803FFFC-AEB0-40A6-8150-E29B17366B0F}">
      <text>
        <r>
          <rPr>
            <b/>
            <sz val="8"/>
            <color indexed="81"/>
            <rFont val="Calibri"/>
            <family val="2"/>
            <scheme val="minor"/>
          </rPr>
          <t>Enter Sq. Ft</t>
        </r>
      </text>
    </comment>
    <comment ref="F16" authorId="0" shapeId="0" xr:uid="{703153D4-68E8-4AFA-A42A-D5AFD30184C3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16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16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B17" authorId="0" shapeId="0" xr:uid="{0E2D0003-FDEF-484A-870E-811EAE5DD158}">
      <text>
        <r>
          <rPr>
            <b/>
            <sz val="8"/>
            <color indexed="81"/>
            <rFont val="Calibri"/>
            <family val="2"/>
            <scheme val="minor"/>
          </rPr>
          <t>Enter Sq. Ft</t>
        </r>
      </text>
    </comment>
    <comment ref="F17" authorId="0" shapeId="0" xr:uid="{AC4EA8E2-B004-4AC3-9FE6-422042A45BA2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17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17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F18" authorId="0" shapeId="0" xr:uid="{0EC277B8-BD33-47B0-B1F2-090706C005AB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1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18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F19" authorId="0" shapeId="0" xr:uid="{ED1659F0-5200-4BAC-8FEA-3089C2E7A829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19" authorId="0" shapeId="0" xr:uid="{E572A16D-5EC8-4458-8C6C-F4A17E5F9F2B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19" authorId="0" shapeId="0" xr:uid="{E59FC9FF-3F6B-4FA7-9E3B-CFC01B3246BD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B20" authorId="0" shapeId="0" xr:uid="{797CB169-A08A-4BE9-BBC6-1B618021402F}">
      <text>
        <r>
          <rPr>
            <b/>
            <sz val="8"/>
            <color indexed="81"/>
            <rFont val="Calibri"/>
            <family val="2"/>
            <scheme val="minor"/>
          </rPr>
          <t>Enter Sq. Ft</t>
        </r>
      </text>
    </comment>
    <comment ref="F20" authorId="0" shapeId="0" xr:uid="{22CF1607-625E-4681-897A-E998E60AF373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20" authorId="0" shapeId="0" xr:uid="{A1E6A102-9ABA-47BD-AADB-50E985D4FE68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20" authorId="0" shapeId="0" xr:uid="{EA072866-BC3F-48F6-9AFC-645459E703B7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F21" authorId="0" shapeId="0" xr:uid="{5895F454-3748-4443-AD35-AA7DFCBAFFBE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21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21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F22" authorId="0" shapeId="0" xr:uid="{D3C6E476-5F04-4ECB-9FA0-E80C5ACEDC95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22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2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B23" authorId="0" shapeId="0" xr:uid="{563951A2-A874-4B8D-A9B4-A221D5181255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3" authorId="0" shapeId="0" xr:uid="{84A20EA0-D7AB-4C41-96BC-608937201E82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L23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O23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F24" authorId="0" shapeId="0" xr:uid="{3AD8050A-B7D5-4157-A833-33B30D909903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5" authorId="0" shapeId="0" xr:uid="{0CDC3A94-F79D-480F-965A-14D7DADA274D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6" authorId="0" shapeId="0" xr:uid="{8C9C9D3F-F22C-40A5-AB91-DC5F7D98BB4F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7" authorId="0" shapeId="0" xr:uid="{FB50647F-2BB4-44C3-B5D7-E04B8F558C2D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8" authorId="0" shapeId="0" xr:uid="{42336706-324B-48DE-8A44-11A987732FAC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29" authorId="0" shapeId="0" xr:uid="{5ACA7E98-3A84-4CA8-9703-3C93CA72FF43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30" authorId="0" shapeId="0" xr:uid="{32F52152-718D-47F9-A5DE-CB805B8F0A02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31" authorId="0" shapeId="0" xr:uid="{AC871DE0-47D7-49A9-A362-B129C9E40CFE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B33" authorId="0" shapeId="0" xr:uid="{296DEF19-B0F5-47DE-A8FB-DDC7FB091A1E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B34" authorId="0" shapeId="0" xr:uid="{C200016B-F8C7-42A0-B850-F711CC2913CA}">
      <text>
        <r>
          <rPr>
            <b/>
            <sz val="8"/>
            <color indexed="81"/>
            <rFont val="Calibri"/>
            <family val="2"/>
            <scheme val="minor"/>
          </rPr>
          <t>Enter QTY</t>
        </r>
      </text>
    </comment>
    <comment ref="F34" authorId="0" shapeId="0" xr:uid="{CAA1816A-EDD1-4051-A4AC-BB25A77121C0}">
      <text>
        <r>
          <rPr>
            <b/>
            <sz val="8"/>
            <color indexed="81"/>
            <rFont val="Calibri"/>
            <family val="2"/>
            <scheme val="minor"/>
          </rPr>
          <t>Enter %</t>
        </r>
      </text>
    </comment>
    <comment ref="K63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63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3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64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64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4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65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65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5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66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66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6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67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67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67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0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0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0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1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1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1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2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2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2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3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3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3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5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5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5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6" authorId="0" shapeId="0" xr:uid="{403921D2-6E00-44C3-9EE5-BFE7CAF1D145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6" authorId="0" shapeId="0" xr:uid="{000A8540-0D25-4D76-8686-89658DEA64F3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6" authorId="0" shapeId="0" xr:uid="{353940A1-A2A2-4AC0-8566-FEB494D8F31A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K77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oz. sealant per each</t>
        </r>
      </text>
    </comment>
    <comment ref="L77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77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L80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0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L81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1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L83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3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L84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4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  <comment ref="L86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Total oz. needed</t>
        </r>
      </text>
    </comment>
    <comment ref="M86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sealant cost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Winter</author>
  </authors>
  <commentList>
    <comment ref="E44" authorId="0" shapeId="0" xr:uid="{C31E78C3-A9DF-4976-8BDF-A0924C8AE22D}">
      <text>
        <r>
          <rPr>
            <sz val="9"/>
            <color indexed="81"/>
            <rFont val="Tahoma"/>
            <family val="2"/>
          </rPr>
          <t xml:space="preserve">CHANGE/ZERO OUT IF NEEDED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Winter</author>
  </authors>
  <commentList>
    <comment ref="E39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Enter 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Patti Winter</author>
  </authors>
  <commentList>
    <comment ref="C14" authorId="0" shapeId="0" xr:uid="{07AEF056-54C9-418C-8BD7-4EA50A2FFA6A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15" authorId="0" shapeId="0" xr:uid="{769D5A6F-D17D-4091-B0BE-1D660E125979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16" authorId="0" shapeId="0" xr:uid="{CB6CB9BD-549C-4617-BCF6-7A7E22DEC9FB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17" authorId="0" shapeId="0" xr:uid="{C87207C1-5539-49B5-A943-53860051426B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18" authorId="0" shapeId="0" xr:uid="{F924A949-F3BD-4F44-88A2-D9E84A890AEE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19" authorId="0" shapeId="0" xr:uid="{83C908D9-840E-4BED-A636-9D04D9F5E278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0" authorId="0" shapeId="0" xr:uid="{58C97367-7CDC-4D43-8740-DB3B50FB1749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1" authorId="0" shapeId="0" xr:uid="{9B42BC2C-DF10-4661-98D7-B0242057843B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2" authorId="0" shapeId="0" xr:uid="{531EC207-2A44-4DEC-925C-02C38397EB4A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3" authorId="0" shapeId="0" xr:uid="{2EFDCF45-24FD-4AD7-B191-28F012DF4557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4" authorId="0" shapeId="0" xr:uid="{D5CBA1DC-CABB-42DF-B898-707E2907FFF2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5" authorId="0" shapeId="0" xr:uid="{0E068C7D-3028-4EF7-83EF-7CB3C90CCD3B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6" authorId="0" shapeId="0" xr:uid="{5EF68837-00C8-44CC-9536-8652DCC98ADD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7" authorId="0" shapeId="0" xr:uid="{6B3DEAAF-6AAB-49BD-9268-DA90E97B83DF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28" authorId="0" shapeId="0" xr:uid="{CAC5BAEE-8E3F-4FAA-8792-C27528A1426C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3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Cost/Ft</t>
        </r>
      </text>
    </comment>
    <comment ref="C39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Cost/Ft</t>
        </r>
      </text>
    </comment>
    <comment ref="C44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45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46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47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48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49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0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1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2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3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4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5" authorId="0" shapeId="0" xr:uid="{00000000-0006-0000-0500-000013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6" authorId="0" shapeId="0" xr:uid="{00000000-0006-0000-0500-000014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8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5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1" authorId="0" shapeId="0" xr:uid="{00000000-0006-0000-0500-000015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2" authorId="0" shapeId="0" xr:uid="{00000000-0006-0000-0500-000016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3" authorId="0" shapeId="0" xr:uid="{00000000-0006-0000-0500-000017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4" authorId="0" shapeId="0" xr:uid="{00000000-0006-0000-0500-000019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6" authorId="0" shapeId="0" xr:uid="{00000000-0006-0000-0500-000018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7" authorId="0" shapeId="0" xr:uid="{00000000-0006-0000-0500-00001A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8" authorId="0" shapeId="0" xr:uid="{00000000-0006-0000-0500-00001B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69" authorId="0" shapeId="0" xr:uid="{00000000-0006-0000-0500-00001C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70" authorId="0" shapeId="0" xr:uid="{00000000-0006-0000-0500-00001E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71" authorId="0" shapeId="0" xr:uid="{00000000-0006-0000-0500-00001D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74" authorId="0" shapeId="0" xr:uid="{00000000-0006-0000-0500-00001F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76" authorId="0" shapeId="0" xr:uid="{00000000-0006-0000-0500-000020000000}">
      <text>
        <r>
          <rPr>
            <b/>
            <sz val="8"/>
            <color indexed="81"/>
            <rFont val="Tahoma"/>
            <family val="2"/>
          </rPr>
          <t>Sq ft</t>
        </r>
      </text>
    </comment>
    <comment ref="C79" authorId="0" shapeId="0" xr:uid="{00000000-0006-0000-0500-000021000000}">
      <text>
        <r>
          <rPr>
            <b/>
            <sz val="8"/>
            <color indexed="81"/>
            <rFont val="Tahoma"/>
            <family val="2"/>
          </rPr>
          <t>Sq ft</t>
        </r>
      </text>
    </comment>
  </commentList>
</comments>
</file>

<file path=xl/sharedStrings.xml><?xml version="1.0" encoding="utf-8"?>
<sst xmlns="http://schemas.openxmlformats.org/spreadsheetml/2006/main" count="524" uniqueCount="366">
  <si>
    <t>CURB</t>
  </si>
  <si>
    <t>Shower Pan</t>
  </si>
  <si>
    <t>Curb</t>
  </si>
  <si>
    <t>TOTAL SHOWER INSTALLED COST</t>
  </si>
  <si>
    <t>36" x 60"</t>
  </si>
  <si>
    <t>SEALANT</t>
  </si>
  <si>
    <t>Total Oz. Needed</t>
  </si>
  <si>
    <t>10 oz.</t>
  </si>
  <si>
    <t>20 oz.</t>
  </si>
  <si>
    <t>36" x 36"</t>
  </si>
  <si>
    <t>36" x 48"</t>
  </si>
  <si>
    <t>36" x 72"</t>
  </si>
  <si>
    <t>36" x 72" Offset</t>
  </si>
  <si>
    <t>48" x 48"</t>
  </si>
  <si>
    <t>48" x 60"</t>
  </si>
  <si>
    <t>48" x 72"</t>
  </si>
  <si>
    <t>48" x 84"</t>
  </si>
  <si>
    <t>60" x 60"</t>
  </si>
  <si>
    <t>60" x 72"</t>
  </si>
  <si>
    <t>60" x 84"</t>
  </si>
  <si>
    <t>72" x 72"</t>
  </si>
  <si>
    <t>12" x 72"</t>
  </si>
  <si>
    <t>24" x 48"</t>
  </si>
  <si>
    <t>SHOWER PAN &amp; EXTENSION(S)</t>
  </si>
  <si>
    <t>36" X 36" Corner</t>
  </si>
  <si>
    <t>MATERIALS LIST</t>
  </si>
  <si>
    <t>(includes 10% waste)</t>
  </si>
  <si>
    <t>10 oz. or 20 oz.</t>
  </si>
  <si>
    <t>Select Size</t>
  </si>
  <si>
    <t>Qty</t>
  </si>
  <si>
    <t>HBWB366012</t>
  </si>
  <si>
    <t>HBWB486412</t>
  </si>
  <si>
    <t>HBJSCART</t>
  </si>
  <si>
    <t>HBJSSAUS</t>
  </si>
  <si>
    <t>HBSP3636</t>
  </si>
  <si>
    <t>HBSP3648</t>
  </si>
  <si>
    <t>HBSP3660</t>
  </si>
  <si>
    <t>HBSP3672</t>
  </si>
  <si>
    <t>HBSP3672OD</t>
  </si>
  <si>
    <t>HBSP4848</t>
  </si>
  <si>
    <t>HBSP4860</t>
  </si>
  <si>
    <t>HBSP4872</t>
  </si>
  <si>
    <t>HBSP4884</t>
  </si>
  <si>
    <t>HBSP6060</t>
  </si>
  <si>
    <t>HBSP6072</t>
  </si>
  <si>
    <t>HBSP6084</t>
  </si>
  <si>
    <t>HBSP7272</t>
  </si>
  <si>
    <t>Cut desired Pan size out then poke hole in drain center to line up with drain locator on layout grid</t>
  </si>
  <si>
    <t>6'X6' Pan</t>
  </si>
  <si>
    <t>3'X6' Pan</t>
  </si>
  <si>
    <t>4'X7' Pan</t>
  </si>
  <si>
    <t>5'X5' Pan</t>
  </si>
  <si>
    <t>3'X5' Pan</t>
  </si>
  <si>
    <t>4'X6' Pan</t>
  </si>
  <si>
    <t>4'X4' Pan</t>
  </si>
  <si>
    <t>3'X4' Pan</t>
  </si>
  <si>
    <t>4'X5' Pan</t>
  </si>
  <si>
    <t>3'X3' Pan</t>
  </si>
  <si>
    <t>5'X6' Pan</t>
  </si>
  <si>
    <t>5' X 7' P  A N</t>
  </si>
  <si>
    <t>3'X6' Off Center Pan</t>
  </si>
  <si>
    <t>Grids represent 6" each</t>
  </si>
  <si>
    <t xml:space="preserve">Item# </t>
  </si>
  <si>
    <t>Description</t>
  </si>
  <si>
    <t>Screws &amp; Washers (Box of 100)</t>
  </si>
  <si>
    <t>Joint Sealant Cartridge 10 oz</t>
  </si>
  <si>
    <t>Joint Sealant Sausage 20 oz</t>
  </si>
  <si>
    <t>PRICE</t>
  </si>
  <si>
    <t>ITEM#</t>
  </si>
  <si>
    <t>DESCRIPTION</t>
  </si>
  <si>
    <t>Unit Cost</t>
  </si>
  <si>
    <t>Ext. Cost</t>
  </si>
  <si>
    <t>Bench</t>
  </si>
  <si>
    <t>16" x 16"</t>
  </si>
  <si>
    <t>16" x 28"</t>
  </si>
  <si>
    <t>16" x 22" Barrel Head</t>
  </si>
  <si>
    <t>32" x 16" Double Wide</t>
  </si>
  <si>
    <t>32" x 26" Double Arch</t>
  </si>
  <si>
    <t>Medium Diamond</t>
  </si>
  <si>
    <t>Medium Suspended</t>
  </si>
  <si>
    <t>Large Suspended</t>
  </si>
  <si>
    <t>Large Diamond</t>
  </si>
  <si>
    <t>16" x 16" Recessed Shower Niche</t>
  </si>
  <si>
    <t>16" x 28" Recessed Shower Niche</t>
  </si>
  <si>
    <t>HBRSN1616</t>
  </si>
  <si>
    <t>HBRSN1628</t>
  </si>
  <si>
    <t>HBRBHSN1622</t>
  </si>
  <si>
    <t>HBRDWSN3216</t>
  </si>
  <si>
    <t>HBRDASN3226</t>
  </si>
  <si>
    <t>16" x 22" Recessed Barrel Head Niche</t>
  </si>
  <si>
    <t>32" x 16" Recessed Double Wide Nich</t>
  </si>
  <si>
    <t>32" x 26" Recessed Double Arch Niche</t>
  </si>
  <si>
    <t>HBSBM</t>
  </si>
  <si>
    <t>HBSBL</t>
  </si>
  <si>
    <t>HBDBM</t>
  </si>
  <si>
    <t>HBDBL</t>
  </si>
  <si>
    <t>Suspended Bench Medium</t>
  </si>
  <si>
    <t>Suspended Bench Large</t>
  </si>
  <si>
    <t>Diamond Bench Medium</t>
  </si>
  <si>
    <t>Diamond Bench Large</t>
  </si>
  <si>
    <t>HBDSC</t>
  </si>
  <si>
    <t>Diamond Shampoo Caddy</t>
  </si>
  <si>
    <t>HBSR1272</t>
  </si>
  <si>
    <t>Niche</t>
  </si>
  <si>
    <t>Shelf</t>
  </si>
  <si>
    <t>Ramp</t>
  </si>
  <si>
    <t>ACCESSORIES</t>
  </si>
  <si>
    <t xml:space="preserve">Soap Niche  </t>
  </si>
  <si>
    <t xml:space="preserve">Bench  </t>
  </si>
  <si>
    <t xml:space="preserve">Shelf  </t>
  </si>
  <si>
    <t>Total Qty Needed</t>
  </si>
  <si>
    <t>Per Sq. Ft</t>
  </si>
  <si>
    <t>Per Lin. Ft</t>
  </si>
  <si>
    <t>Each</t>
  </si>
  <si>
    <t>Total Sq. Ft</t>
  </si>
  <si>
    <t>Installed Cost</t>
  </si>
  <si>
    <t>Extension</t>
  </si>
  <si>
    <t>2nd Extension</t>
  </si>
  <si>
    <t>TOTAL RESALE</t>
  </si>
  <si>
    <t>Cost/Lin. Ft</t>
  </si>
  <si>
    <t>Cost (includes labor)</t>
  </si>
  <si>
    <t>Optional</t>
  </si>
  <si>
    <t>CALCULATIONS ARE APPROXIMATE AND ONLY USED FOR ESTIMATING PURPOSES</t>
  </si>
  <si>
    <t>Part Number</t>
  </si>
  <si>
    <t>QTY</t>
  </si>
  <si>
    <t>TOTAL ORDER</t>
  </si>
  <si>
    <t>TO:</t>
  </si>
  <si>
    <t>FROM:</t>
  </si>
  <si>
    <t>Email:</t>
  </si>
  <si>
    <t>Phone:</t>
  </si>
  <si>
    <t>Fax:</t>
  </si>
  <si>
    <t>PO#</t>
  </si>
  <si>
    <t>DATE</t>
  </si>
  <si>
    <t>SHIP VIA</t>
  </si>
  <si>
    <t>NOTES:</t>
  </si>
  <si>
    <t>drain is 16" from edge</t>
  </si>
  <si>
    <t>2'x4' Exten.</t>
  </si>
  <si>
    <t>1'x6' Exten.</t>
  </si>
  <si>
    <t>3'x3' Exten.</t>
  </si>
  <si>
    <t>Wallboard sizes:</t>
  </si>
  <si>
    <r>
      <t xml:space="preserve">36" x 60" x 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 (15 sq.ft)</t>
    </r>
  </si>
  <si>
    <r>
      <t xml:space="preserve">48" x 64" x </t>
    </r>
    <r>
      <rPr>
        <sz val="11"/>
        <color theme="1"/>
        <rFont val="Calibri"/>
        <family val="2"/>
      </rPr>
      <t>½" (21.33 sq.ft)</t>
    </r>
  </si>
  <si>
    <t>needed per square foot of board</t>
  </si>
  <si>
    <t>Company:</t>
  </si>
  <si>
    <t>Address:</t>
  </si>
  <si>
    <t>Supplier:</t>
  </si>
  <si>
    <t>Sausage gun w/3 tips</t>
  </si>
  <si>
    <t>1,000 Screws</t>
  </si>
  <si>
    <t>1,000 Washers</t>
  </si>
  <si>
    <t>HBSCREW1000</t>
  </si>
  <si>
    <t>HBWASH1000</t>
  </si>
  <si>
    <t>Screws (1,000 per bucket)</t>
  </si>
  <si>
    <t>HBSAUSGUN</t>
  </si>
  <si>
    <t>HBWB366014</t>
  </si>
  <si>
    <t>Washers w/tabs (1,000 per bucket)</t>
  </si>
  <si>
    <t>Extra sealant</t>
  </si>
  <si>
    <t>Contact:</t>
  </si>
  <si>
    <t>Unit Price</t>
  </si>
  <si>
    <t>Ext. Price</t>
  </si>
  <si>
    <t>Margin</t>
  </si>
  <si>
    <t>Hydro-Blok USA LLC can not be held responsible for errors made while using this tool.  Prices are subject to change without notice.</t>
  </si>
  <si>
    <t>Total Material Cost</t>
  </si>
  <si>
    <t>Resale Markup</t>
  </si>
  <si>
    <t>LABOR COSTS*</t>
  </si>
  <si>
    <t>*Labor costs are set by contractor.  Defaults are Hydro-Blok suggestions based on industry standards at time of publication.</t>
  </si>
  <si>
    <t xml:space="preserve">1 oz. sealant and 1 washer &amp; 1 screw </t>
  </si>
  <si>
    <t>Check back for pricing updates - calculator will NOT update automatically</t>
  </si>
  <si>
    <t>Printed:</t>
  </si>
  <si>
    <t>TOTAL RESALE*</t>
  </si>
  <si>
    <t>INSTALLED COST</t>
  </si>
  <si>
    <t>MATERIALS CALCULATOR</t>
  </si>
  <si>
    <t>*See Materials List  tab for list including markup</t>
  </si>
  <si>
    <t>Cell Requires Entry</t>
  </si>
  <si>
    <t>Qty Needed</t>
  </si>
  <si>
    <t>CLICK OFFICE BUTTON → SAVE AS → PDF to export PO</t>
  </si>
  <si>
    <t>HBSSSP3660</t>
  </si>
  <si>
    <t>HBSSSP4872</t>
  </si>
  <si>
    <t>HBSSSP6036</t>
  </si>
  <si>
    <t>HBSSSP7248</t>
  </si>
  <si>
    <r>
      <t xml:space="preserve">Single Slope </t>
    </r>
    <r>
      <rPr>
        <u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" x 60" Shower Pan</t>
    </r>
  </si>
  <si>
    <r>
      <t xml:space="preserve">Single Slope </t>
    </r>
    <r>
      <rPr>
        <u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" x 72" Shower Pan</t>
    </r>
  </si>
  <si>
    <r>
      <t xml:space="preserve">Single Slope </t>
    </r>
    <r>
      <rPr>
        <u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" x 36" Shower Pan</t>
    </r>
  </si>
  <si>
    <r>
      <t xml:space="preserve">Single Slope </t>
    </r>
    <r>
      <rPr>
        <u/>
        <sz val="11"/>
        <color theme="1"/>
        <rFont val="Calibri"/>
        <family val="2"/>
        <scheme val="minor"/>
      </rPr>
      <t>72</t>
    </r>
    <r>
      <rPr>
        <sz val="11"/>
        <color theme="1"/>
        <rFont val="Calibri"/>
        <family val="2"/>
        <scheme val="minor"/>
      </rPr>
      <t>" x 48" Shower Pan</t>
    </r>
  </si>
  <si>
    <t>HBLD73</t>
  </si>
  <si>
    <r>
      <t>73</t>
    </r>
    <r>
      <rPr>
        <sz val="11"/>
        <color theme="1"/>
        <rFont val="Calibri"/>
        <family val="2"/>
      </rPr>
      <t>½" Line Drain Kit</t>
    </r>
  </si>
  <si>
    <t>Line Drain</t>
  </si>
  <si>
    <t>Floor lowering kit</t>
  </si>
  <si>
    <t>HBFLJCK</t>
  </si>
  <si>
    <t>2nd Shower Pan</t>
  </si>
  <si>
    <t>36" x 60" x ¼" Board</t>
  </si>
  <si>
    <t>48" x 60" x 2" Board</t>
  </si>
  <si>
    <t>44" x 96" x 2" Board</t>
  </si>
  <si>
    <t>100 Screws &amp; Washers</t>
  </si>
  <si>
    <t>HBWB44962</t>
  </si>
  <si>
    <t>HBWB48602</t>
  </si>
  <si>
    <r>
      <t xml:space="preserve">36" x 60" x 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 Board</t>
    </r>
  </si>
  <si>
    <r>
      <t xml:space="preserve">48" x 64" x 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 Board</t>
    </r>
  </si>
  <si>
    <t>44" x 96"</t>
  </si>
  <si>
    <t>WallBoard</t>
  </si>
  <si>
    <r>
      <t xml:space="preserve">Single Slope </t>
    </r>
    <r>
      <rPr>
        <u/>
        <sz val="11"/>
        <color theme="1"/>
        <rFont val="Calibri"/>
        <family val="2"/>
        <scheme val="minor"/>
      </rPr>
      <t>72</t>
    </r>
    <r>
      <rPr>
        <sz val="11"/>
        <color theme="1"/>
        <rFont val="Calibri"/>
        <family val="2"/>
        <scheme val="minor"/>
      </rPr>
      <t>" x 12" Pan Extension</t>
    </r>
  </si>
  <si>
    <t>Extra 1,000 Screws</t>
  </si>
  <si>
    <t>Extra 1,000 Washers</t>
  </si>
  <si>
    <t>Extra 100 Screws &amp; Washers</t>
  </si>
  <si>
    <t>Sausage gun</t>
  </si>
  <si>
    <t>Select 5' Options</t>
  </si>
  <si>
    <t>Select Niche</t>
  </si>
  <si>
    <t>Select Bench</t>
  </si>
  <si>
    <t>72" x 12" Single Slope</t>
  </si>
  <si>
    <t>36" x 60" Single Slope</t>
  </si>
  <si>
    <t>48" x 72" Single Slope</t>
  </si>
  <si>
    <t>60" x 36" Single Slope</t>
  </si>
  <si>
    <t>72" x 48" Single Slope</t>
  </si>
  <si>
    <r>
      <t>Extra</t>
    </r>
    <r>
      <rPr>
        <i/>
        <sz val="11"/>
        <color theme="1"/>
        <rFont val="Calibri"/>
        <family val="2"/>
      </rPr>
      <t xml:space="preserve"> Linear Drain</t>
    </r>
  </si>
  <si>
    <t>JOB NAME</t>
  </si>
  <si>
    <t>LOT#</t>
  </si>
  <si>
    <t>Job Name:</t>
  </si>
  <si>
    <t>Lot#:</t>
  </si>
  <si>
    <t>SEALANT COST</t>
  </si>
  <si>
    <t>SEALANT NEEDED</t>
  </si>
  <si>
    <r>
      <t xml:space="preserve">Single Slope </t>
    </r>
    <r>
      <rPr>
        <u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" x 72" Side Extension</t>
    </r>
  </si>
  <si>
    <t>HBTSSSP3660</t>
  </si>
  <si>
    <t>HBTSSSP4872</t>
  </si>
  <si>
    <t>HBTSSSP6036</t>
  </si>
  <si>
    <t>HBTSSSP7248</t>
  </si>
  <si>
    <t>18" x 72" Single Slope</t>
  </si>
  <si>
    <t>72" x 12" THIN Single Slope</t>
  </si>
  <si>
    <t>36" x 60" THIN Single Slope</t>
  </si>
  <si>
    <t>48" x 72" THIN Single Slope</t>
  </si>
  <si>
    <t>60" x 36" THIN Single Slope</t>
  </si>
  <si>
    <t>72" x 48" THIN Single Slope</t>
  </si>
  <si>
    <r>
      <t xml:space="preserve">THIN Single Slope </t>
    </r>
    <r>
      <rPr>
        <u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" x 60" Shower Pan</t>
    </r>
  </si>
  <si>
    <r>
      <t xml:space="preserve">THIN Single Slope </t>
    </r>
    <r>
      <rPr>
        <u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" x 72" Shower Pan</t>
    </r>
  </si>
  <si>
    <r>
      <t xml:space="preserve">THIN Single Slope </t>
    </r>
    <r>
      <rPr>
        <u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" x 36" Shower Pan</t>
    </r>
  </si>
  <si>
    <r>
      <t xml:space="preserve">THIN Single Slope </t>
    </r>
    <r>
      <rPr>
        <u/>
        <sz val="11"/>
        <color theme="1"/>
        <rFont val="Calibri"/>
        <family val="2"/>
        <scheme val="minor"/>
      </rPr>
      <t>72</t>
    </r>
    <r>
      <rPr>
        <sz val="11"/>
        <color theme="1"/>
        <rFont val="Calibri"/>
        <family val="2"/>
        <scheme val="minor"/>
      </rPr>
      <t>" x 12" Pan Extension</t>
    </r>
  </si>
  <si>
    <r>
      <t xml:space="preserve">THIN Single Slope </t>
    </r>
    <r>
      <rPr>
        <u/>
        <sz val="11"/>
        <color theme="1"/>
        <rFont val="Calibri"/>
        <family val="2"/>
        <scheme val="minor"/>
      </rPr>
      <t>72</t>
    </r>
    <r>
      <rPr>
        <sz val="11"/>
        <color theme="1"/>
        <rFont val="Calibri"/>
        <family val="2"/>
        <scheme val="minor"/>
      </rPr>
      <t>" x 48" Shower Pan</t>
    </r>
  </si>
  <si>
    <r>
      <t xml:space="preserve">36" x 60" x </t>
    </r>
    <r>
      <rPr>
        <sz val="11"/>
        <color theme="1"/>
        <rFont val="Calibri"/>
        <family val="2"/>
      </rPr>
      <t>½"</t>
    </r>
  </si>
  <si>
    <r>
      <t xml:space="preserve">36" x 60" x </t>
    </r>
    <r>
      <rPr>
        <sz val="11"/>
        <color theme="1"/>
        <rFont val="Calibri"/>
        <family val="2"/>
      </rPr>
      <t>⅝"</t>
    </r>
  </si>
  <si>
    <t>36" x 60" x ½"</t>
  </si>
  <si>
    <t>HBWB366058</t>
  </si>
  <si>
    <r>
      <t xml:space="preserve">36" x 60" x </t>
    </r>
    <r>
      <rPr>
        <sz val="11"/>
        <color theme="1"/>
        <rFont val="Calibri"/>
        <family val="2"/>
      </rPr>
      <t>⅝" Board</t>
    </r>
  </si>
  <si>
    <r>
      <t xml:space="preserve">48" x 64" x </t>
    </r>
    <r>
      <rPr>
        <sz val="11"/>
        <color theme="1"/>
        <rFont val="Calibri"/>
        <family val="2"/>
      </rPr>
      <t>½"</t>
    </r>
  </si>
  <si>
    <r>
      <t xml:space="preserve">36" x 60" x </t>
    </r>
    <r>
      <rPr>
        <sz val="11"/>
        <color theme="1"/>
        <rFont val="Calibri"/>
        <family val="2"/>
      </rPr>
      <t>¼"</t>
    </r>
  </si>
  <si>
    <t xml:space="preserve">WALLBOARD </t>
  </si>
  <si>
    <t>Material Cost</t>
  </si>
  <si>
    <t>Labor Cost</t>
  </si>
  <si>
    <t>Line Drain Coupler</t>
  </si>
  <si>
    <t>Line Drain Trim Kit</t>
  </si>
  <si>
    <t>HBLDCOUP</t>
  </si>
  <si>
    <t>IN-Shadow Trim (2 pcs)</t>
  </si>
  <si>
    <t>IN-Sight Trim (2 pcs)</t>
  </si>
  <si>
    <t>HBINSI38</t>
  </si>
  <si>
    <t>HBINSI14</t>
  </si>
  <si>
    <t>HBINSI12</t>
  </si>
  <si>
    <t>3/8" IN-Sight Trim (2 pcs)</t>
  </si>
  <si>
    <t>1/4" IN-Sight Trim (2 pcs)</t>
  </si>
  <si>
    <t>1/2" IN-Sight Trim (2 pcs)</t>
  </si>
  <si>
    <t>3/8" IN-Sight Trim</t>
  </si>
  <si>
    <t>1/4" IN-Sight Trim</t>
  </si>
  <si>
    <t>1/2" IN-Sight Trim</t>
  </si>
  <si>
    <t>Floor lowering kit - 24 sq ft</t>
  </si>
  <si>
    <t>24 sq ft Floor Lowering Joist Clip Kit</t>
  </si>
  <si>
    <t>HBINSHADOW</t>
  </si>
  <si>
    <t>IN-Shadow Trim</t>
  </si>
  <si>
    <t>HBLDSLOTEXT</t>
  </si>
  <si>
    <t>Line Drain Slot Extender Stick</t>
  </si>
  <si>
    <t>Line Drain Slot Extender</t>
  </si>
  <si>
    <t>HBINSI##</t>
  </si>
  <si>
    <t>Subtotal</t>
  </si>
  <si>
    <t>TOTAL</t>
  </si>
  <si>
    <t>Surcharge</t>
  </si>
  <si>
    <t>HBSCM60</t>
  </si>
  <si>
    <t>HBSCM84</t>
  </si>
  <si>
    <r>
      <t>60" x 2" x 2</t>
    </r>
    <r>
      <rPr>
        <sz val="11"/>
        <color theme="1"/>
        <rFont val="Calibri"/>
        <family val="2"/>
      </rPr>
      <t>½" MINI Curb</t>
    </r>
  </si>
  <si>
    <r>
      <t>84" x 2" x 2</t>
    </r>
    <r>
      <rPr>
        <sz val="11"/>
        <color theme="1"/>
        <rFont val="Calibri"/>
        <family val="2"/>
      </rPr>
      <t>½" MINI Curb</t>
    </r>
  </si>
  <si>
    <r>
      <t xml:space="preserve">36" x 60" x </t>
    </r>
    <r>
      <rPr>
        <sz val="11"/>
        <color theme="1"/>
        <rFont val="Calibri"/>
        <family val="2"/>
      </rPr>
      <t>⅝</t>
    </r>
    <r>
      <rPr>
        <i/>
        <sz val="11"/>
        <color theme="1"/>
        <rFont val="Calibri"/>
        <family val="2"/>
      </rPr>
      <t>"</t>
    </r>
  </si>
  <si>
    <t>48" x 64" x ½"</t>
  </si>
  <si>
    <t>36" x 60" sheets</t>
  </si>
  <si>
    <t>48" x 64" sheets</t>
  </si>
  <si>
    <t>Select IN-Sight Trim Kit</t>
  </si>
  <si>
    <t>Total Square Footage</t>
  </si>
  <si>
    <t>60" x 2" x 2½" MINI Curb</t>
  </si>
  <si>
    <t>84" x 2" x 2½" MINI Curb</t>
  </si>
  <si>
    <t>HBSPCE3636</t>
  </si>
  <si>
    <t>HBSSSPE1872</t>
  </si>
  <si>
    <t>HBSSSPE7212</t>
  </si>
  <si>
    <t>HBTSSSPE7212</t>
  </si>
  <si>
    <t>36" x 48" Shower Pan</t>
  </si>
  <si>
    <t>36" x 60" Shower Pan</t>
  </si>
  <si>
    <t>36" x 72" Shower Pan</t>
  </si>
  <si>
    <t>48" x 48" Shower Pan</t>
  </si>
  <si>
    <t>48" x 60" Shower Pan</t>
  </si>
  <si>
    <t>48" x 72" Shower Pan</t>
  </si>
  <si>
    <t>48" x 84" Shower Pan</t>
  </si>
  <si>
    <t>60" x 60" Shower Pan</t>
  </si>
  <si>
    <t>60" x 72" Shower Pan</t>
  </si>
  <si>
    <t>60" x 84" Shower Pan</t>
  </si>
  <si>
    <t>72" x 72" Shower Pan</t>
  </si>
  <si>
    <t>36" x 72" Offset Shower Pan</t>
  </si>
  <si>
    <t>12" x 72" Pan Extension</t>
  </si>
  <si>
    <t>24" x 48" Pan Extension</t>
  </si>
  <si>
    <t>36" x 36" Corner Pan Extension</t>
  </si>
  <si>
    <t>36" x 36" Shower Pan</t>
  </si>
  <si>
    <t>HBLPSP3636</t>
  </si>
  <si>
    <t>HBLPSP3648</t>
  </si>
  <si>
    <t>HBLPSP3660</t>
  </si>
  <si>
    <t>HBLPSP3672</t>
  </si>
  <si>
    <t>HBLPSP3672OD</t>
  </si>
  <si>
    <t>HBLPSP4848</t>
  </si>
  <si>
    <t>HBLPSP4860</t>
  </si>
  <si>
    <t>HBLPSP4872</t>
  </si>
  <si>
    <t>HBLPSP4884</t>
  </si>
  <si>
    <t>HBLPSP6060</t>
  </si>
  <si>
    <t>HBLPSP6072</t>
  </si>
  <si>
    <t>HBLPSP6084</t>
  </si>
  <si>
    <t>HBLPSP7272</t>
  </si>
  <si>
    <t>36" x 36" Low Profile Shower Pan</t>
  </si>
  <si>
    <t>36" x 48" Low Profile Shower Pan</t>
  </si>
  <si>
    <t>36" x 60" Low Profile Shower Pan</t>
  </si>
  <si>
    <t>36" x 72" Low Profile Shower Pan</t>
  </si>
  <si>
    <t>48" x 48" Low Profile Shower Pan</t>
  </si>
  <si>
    <t>48" x 60" Low Profile Shower Pan</t>
  </si>
  <si>
    <t>48" x 72" Low Profile Shower Pan</t>
  </si>
  <si>
    <t>48" x 84" Low Profile Shower Pan</t>
  </si>
  <si>
    <t>60" x 60" Low Profile Shower Pan</t>
  </si>
  <si>
    <t>60" x 72" Low Profile Shower Pan</t>
  </si>
  <si>
    <t>60" x 84" Low Profile Shower Pan</t>
  </si>
  <si>
    <t>72" x 72" Low Profile Shower Pan</t>
  </si>
  <si>
    <t>36" x 72" Low Profile Offset Shower Pan</t>
  </si>
  <si>
    <t>HBLPSPE1272</t>
  </si>
  <si>
    <t>HBLPSPE2448</t>
  </si>
  <si>
    <t>HBLPSR1072</t>
  </si>
  <si>
    <t>10" x 72" Low Profile Ramp</t>
  </si>
  <si>
    <t>12" x 72" Low Profile Pan Extension</t>
  </si>
  <si>
    <t>24" x 48" Low Profile Pan Extension</t>
  </si>
  <si>
    <t>HBSPE1272</t>
  </si>
  <si>
    <t>HBSPE2448</t>
  </si>
  <si>
    <t>Sausage Gun</t>
  </si>
  <si>
    <t>36" x 36" Low Profile</t>
  </si>
  <si>
    <t>36" x 48" Low Profile</t>
  </si>
  <si>
    <t>36" x 60" Low Profile</t>
  </si>
  <si>
    <t>36" x 72" Low Profile Offset</t>
  </si>
  <si>
    <t>36" x 72" Low Profile</t>
  </si>
  <si>
    <t>48" x 48" Low Profile</t>
  </si>
  <si>
    <t>48" x 60" Low Profile</t>
  </si>
  <si>
    <t>48" x 72" Low Profile</t>
  </si>
  <si>
    <t>48" x 84" Low Profile</t>
  </si>
  <si>
    <t>60" x 60" Low Profile</t>
  </si>
  <si>
    <t>60" x 72" Low Profile</t>
  </si>
  <si>
    <t>60" x 84" Low Profile</t>
  </si>
  <si>
    <t>72" x 72" Low Profile</t>
  </si>
  <si>
    <t>12" x 72" Low Profile</t>
  </si>
  <si>
    <t>24" x 48" Low Profile</t>
  </si>
  <si>
    <t>12" x 72" Ramp</t>
  </si>
  <si>
    <t>Select Ramp</t>
  </si>
  <si>
    <t xml:space="preserve"> Ramp</t>
  </si>
  <si>
    <t>HBSCREWWASHER100</t>
  </si>
  <si>
    <r>
      <t>36" x 48" x 1</t>
    </r>
    <r>
      <rPr>
        <sz val="11"/>
        <color theme="1"/>
        <rFont val="Calibri"/>
        <family val="2"/>
      </rPr>
      <t>½" Board</t>
    </r>
  </si>
  <si>
    <t>36" x 48</t>
  </si>
  <si>
    <t>HBWB3648112</t>
  </si>
  <si>
    <t>Pricing matches price list effective 01/01/23</t>
  </si>
  <si>
    <t>Select 7' Options</t>
  </si>
  <si>
    <t>HBSC60</t>
  </si>
  <si>
    <t>HBSC84</t>
  </si>
  <si>
    <r>
      <t>60" x 3</t>
    </r>
    <r>
      <rPr>
        <sz val="11"/>
        <color theme="1"/>
        <rFont val="Calibri"/>
        <family val="2"/>
      </rPr>
      <t>½" x 4" Curb</t>
    </r>
  </si>
  <si>
    <r>
      <t>84" x 3</t>
    </r>
    <r>
      <rPr>
        <sz val="11"/>
        <color theme="1"/>
        <rFont val="Calibri"/>
        <family val="2"/>
      </rPr>
      <t>½" x 4" Curb</t>
    </r>
  </si>
  <si>
    <r>
      <t>60" x 3</t>
    </r>
    <r>
      <rPr>
        <sz val="11"/>
        <color theme="1"/>
        <rFont val="Calibri"/>
        <family val="2"/>
      </rPr>
      <t>½" x 4"</t>
    </r>
    <r>
      <rPr>
        <sz val="11"/>
        <color theme="1"/>
        <rFont val="Calibri"/>
        <family val="2"/>
        <scheme val="minor"/>
      </rPr>
      <t xml:space="preserve"> Curb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</si>
</sst>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mm/dd/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indexed="81"/>
      <name val="Calibri"/>
      <family val="2"/>
      <scheme val="minor"/>
    </font>
    <font>
      <u/>
      <sz val="8.8000000000000007"/>
      <color theme="10"/>
      <name val="Calibri"/>
      <family val="2"/>
    </font>
    <font>
      <sz val="9"/>
      <color theme="1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231F2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9"/>
      <color indexed="8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AFE"/>
      </patternFill>
    </fill>
    <fill>
      <patternFill patternType="solid">
        <fgColor rgb="FFF8FCFE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44" fontId="0" fillId="2" borderId="4" xfId="1" applyFont="1" applyFill="1" applyBorder="1" applyProtection="1">
      <protection locked="0"/>
    </xf>
    <xf numFmtId="0" fontId="0" fillId="0" borderId="45" xfId="0" applyBorder="1" applyAlignment="1">
      <alignment horizontal="left"/>
    </xf>
    <xf numFmtId="164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0" fillId="0" borderId="47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41" xfId="0" applyFont="1" applyBorder="1"/>
    <xf numFmtId="0" fontId="0" fillId="0" borderId="44" xfId="0" applyBorder="1"/>
    <xf numFmtId="0" fontId="0" fillId="0" borderId="39" xfId="0" applyBorder="1"/>
    <xf numFmtId="0" fontId="0" fillId="0" borderId="0" xfId="0" applyAlignment="1">
      <alignment horizontal="left"/>
    </xf>
    <xf numFmtId="0" fontId="1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42" xfId="0" applyBorder="1"/>
    <xf numFmtId="0" fontId="0" fillId="0" borderId="43" xfId="0" applyBorder="1"/>
    <xf numFmtId="0" fontId="4" fillId="0" borderId="3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44" fontId="0" fillId="0" borderId="4" xfId="1" applyFont="1" applyFill="1" applyBorder="1" applyProtection="1"/>
    <xf numFmtId="44" fontId="14" fillId="0" borderId="0" xfId="1" applyFont="1" applyProtection="1"/>
    <xf numFmtId="0" fontId="15" fillId="0" borderId="0" xfId="0" applyFont="1" applyAlignment="1">
      <alignment horizontal="center"/>
    </xf>
    <xf numFmtId="7" fontId="15" fillId="0" borderId="0" xfId="1" applyNumberFormat="1" applyFont="1" applyProtection="1"/>
    <xf numFmtId="7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right"/>
    </xf>
    <xf numFmtId="44" fontId="0" fillId="2" borderId="6" xfId="1" applyFont="1" applyFill="1" applyBorder="1" applyProtection="1">
      <protection locked="0"/>
    </xf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0" fontId="4" fillId="0" borderId="0" xfId="0" applyFont="1" applyAlignment="1">
      <alignment horizontal="right" indent="1"/>
    </xf>
    <xf numFmtId="0" fontId="3" fillId="0" borderId="4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4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left"/>
    </xf>
    <xf numFmtId="0" fontId="3" fillId="0" borderId="42" xfId="0" applyFont="1" applyBorder="1"/>
    <xf numFmtId="0" fontId="4" fillId="0" borderId="3" xfId="0" applyFont="1" applyBorder="1" applyAlignment="1">
      <alignment horizontal="right" indent="1"/>
    </xf>
    <xf numFmtId="0" fontId="0" fillId="2" borderId="4" xfId="0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right" indent="1"/>
    </xf>
    <xf numFmtId="0" fontId="0" fillId="0" borderId="6" xfId="0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4" fillId="0" borderId="42" xfId="0" applyFont="1" applyBorder="1" applyAlignment="1">
      <alignment horizontal="right" indent="1"/>
    </xf>
    <xf numFmtId="7" fontId="0" fillId="3" borderId="43" xfId="0" applyNumberFormat="1" applyFill="1" applyBorder="1" applyAlignment="1">
      <alignment horizontal="center"/>
    </xf>
    <xf numFmtId="9" fontId="0" fillId="2" borderId="4" xfId="2" applyFont="1" applyFill="1" applyBorder="1" applyAlignment="1" applyProtection="1">
      <alignment horizontal="center"/>
      <protection locked="0"/>
    </xf>
    <xf numFmtId="7" fontId="0" fillId="3" borderId="6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7" fontId="0" fillId="3" borderId="4" xfId="0" applyNumberFormat="1" applyFill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10" fillId="0" borderId="0" xfId="0" applyFont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indent="3"/>
    </xf>
    <xf numFmtId="165" fontId="0" fillId="0" borderId="0" xfId="0" applyNumberFormat="1" applyAlignment="1">
      <alignment horizontal="left"/>
    </xf>
    <xf numFmtId="0" fontId="22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left"/>
    </xf>
    <xf numFmtId="0" fontId="23" fillId="0" borderId="0" xfId="3" applyFont="1" applyAlignment="1">
      <alignment horizontal="left" vertical="top"/>
    </xf>
    <xf numFmtId="0" fontId="24" fillId="0" borderId="0" xfId="3" applyFont="1" applyAlignment="1">
      <alignment horizontal="left" vertical="center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vertical="top"/>
    </xf>
    <xf numFmtId="0" fontId="26" fillId="0" borderId="49" xfId="3" applyFont="1" applyBorder="1" applyAlignment="1">
      <alignment horizontal="center" vertical="center" wrapText="1"/>
    </xf>
    <xf numFmtId="0" fontId="26" fillId="0" borderId="51" xfId="3" applyFont="1" applyBorder="1" applyAlignment="1">
      <alignment horizontal="center" vertical="center" wrapText="1"/>
    </xf>
    <xf numFmtId="0" fontId="27" fillId="6" borderId="47" xfId="3" applyFont="1" applyFill="1" applyBorder="1" applyAlignment="1">
      <alignment horizontal="left" vertical="center" wrapText="1"/>
    </xf>
    <xf numFmtId="0" fontId="27" fillId="6" borderId="6" xfId="3" applyFont="1" applyFill="1" applyBorder="1" applyAlignment="1">
      <alignment horizontal="center" vertical="center" wrapText="1"/>
    </xf>
    <xf numFmtId="164" fontId="27" fillId="6" borderId="6" xfId="3" applyNumberFormat="1" applyFont="1" applyFill="1" applyBorder="1" applyAlignment="1">
      <alignment horizontal="center" vertical="center" wrapText="1"/>
    </xf>
    <xf numFmtId="164" fontId="27" fillId="6" borderId="47" xfId="3" applyNumberFormat="1" applyFont="1" applyFill="1" applyBorder="1" applyAlignment="1">
      <alignment horizontal="center" vertical="center" wrapText="1"/>
    </xf>
    <xf numFmtId="0" fontId="27" fillId="7" borderId="40" xfId="3" applyFont="1" applyFill="1" applyBorder="1" applyAlignment="1">
      <alignment horizontal="left" vertical="center" wrapText="1"/>
    </xf>
    <xf numFmtId="0" fontId="27" fillId="6" borderId="2" xfId="3" applyFont="1" applyFill="1" applyBorder="1" applyAlignment="1">
      <alignment horizontal="center" vertical="center" wrapText="1"/>
    </xf>
    <xf numFmtId="164" fontId="27" fillId="6" borderId="2" xfId="3" applyNumberFormat="1" applyFont="1" applyFill="1" applyBorder="1" applyAlignment="1">
      <alignment horizontal="center" vertical="center" wrapText="1"/>
    </xf>
    <xf numFmtId="164" fontId="27" fillId="7" borderId="40" xfId="3" applyNumberFormat="1" applyFont="1" applyFill="1" applyBorder="1" applyAlignment="1">
      <alignment horizontal="center" vertical="center" wrapText="1"/>
    </xf>
    <xf numFmtId="164" fontId="28" fillId="7" borderId="40" xfId="3" applyNumberFormat="1" applyFont="1" applyFill="1" applyBorder="1" applyAlignment="1">
      <alignment horizontal="center" vertical="center" wrapText="1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vertical="center"/>
    </xf>
    <xf numFmtId="0" fontId="30" fillId="0" borderId="0" xfId="3" applyFont="1" applyAlignment="1">
      <alignment horizontal="center" vertical="center"/>
    </xf>
    <xf numFmtId="0" fontId="32" fillId="0" borderId="0" xfId="3" applyFont="1" applyAlignment="1">
      <alignment horizontal="right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2" xfId="0" applyBorder="1" applyAlignment="1">
      <alignment horizontal="left"/>
    </xf>
    <xf numFmtId="164" fontId="0" fillId="0" borderId="4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4" fontId="0" fillId="3" borderId="4" xfId="1" applyFont="1" applyFill="1" applyBorder="1" applyProtection="1">
      <protection locked="0"/>
    </xf>
    <xf numFmtId="44" fontId="0" fillId="3" borderId="6" xfId="1" applyFont="1" applyFill="1" applyBorder="1" applyProtection="1">
      <protection locked="0"/>
    </xf>
    <xf numFmtId="2" fontId="0" fillId="0" borderId="4" xfId="0" applyNumberFormat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44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indent="1"/>
    </xf>
    <xf numFmtId="0" fontId="0" fillId="2" borderId="3" xfId="0" applyFill="1" applyBorder="1" applyAlignment="1" applyProtection="1">
      <alignment horizontal="left" indent="2"/>
      <protection locked="0"/>
    </xf>
    <xf numFmtId="0" fontId="4" fillId="2" borderId="3" xfId="0" applyFont="1" applyFill="1" applyBorder="1" applyAlignment="1" applyProtection="1">
      <alignment horizontal="right" indent="1"/>
      <protection locked="0"/>
    </xf>
    <xf numFmtId="0" fontId="4" fillId="2" borderId="5" xfId="0" applyFont="1" applyFill="1" applyBorder="1" applyAlignment="1" applyProtection="1">
      <alignment horizontal="right" indent="1"/>
      <protection locked="0"/>
    </xf>
    <xf numFmtId="2" fontId="0" fillId="0" borderId="0" xfId="0" applyNumberFormat="1" applyAlignment="1">
      <alignment horizontal="left"/>
    </xf>
    <xf numFmtId="0" fontId="37" fillId="5" borderId="0" xfId="0" applyFont="1" applyFill="1" applyAlignment="1">
      <alignment horizontal="center" vertical="center" wrapText="1"/>
    </xf>
    <xf numFmtId="0" fontId="0" fillId="5" borderId="0" xfId="0" applyFill="1"/>
    <xf numFmtId="0" fontId="37" fillId="8" borderId="0" xfId="0" applyFont="1" applyFill="1" applyAlignment="1">
      <alignment horizontal="center" vertical="center" wrapText="1"/>
    </xf>
    <xf numFmtId="44" fontId="0" fillId="8" borderId="0" xfId="1" applyFont="1" applyFill="1" applyProtection="1"/>
    <xf numFmtId="7" fontId="0" fillId="5" borderId="4" xfId="0" applyNumberForma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 applyProtection="1">
      <alignment horizontal="left" indent="2"/>
      <protection locked="0"/>
    </xf>
    <xf numFmtId="0" fontId="19" fillId="0" borderId="0" xfId="0" applyFont="1"/>
    <xf numFmtId="0" fontId="34" fillId="0" borderId="0" xfId="0" applyFont="1" applyAlignment="1">
      <alignment vertical="center" wrapText="1" shrinkToFit="1"/>
    </xf>
    <xf numFmtId="0" fontId="0" fillId="0" borderId="4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0" fillId="0" borderId="2" xfId="0" applyBorder="1"/>
    <xf numFmtId="9" fontId="0" fillId="0" borderId="1" xfId="2" applyFont="1" applyBorder="1" applyAlignment="1" applyProtection="1">
      <protection locked="0"/>
    </xf>
    <xf numFmtId="3" fontId="0" fillId="5" borderId="4" xfId="0" applyNumberForma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left"/>
    </xf>
    <xf numFmtId="0" fontId="12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20" fillId="4" borderId="0" xfId="4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42" xfId="0" applyBorder="1" applyAlignment="1">
      <alignment horizontal="right" indent="1"/>
    </xf>
    <xf numFmtId="0" fontId="0" fillId="0" borderId="43" xfId="0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0" fillId="0" borderId="0" xfId="0" applyAlignment="1">
      <alignment horizontal="left" vertical="top" wrapText="1"/>
    </xf>
    <xf numFmtId="14" fontId="12" fillId="0" borderId="0" xfId="0" applyNumberFormat="1" applyFont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9" fillId="0" borderId="0" xfId="0" applyFont="1" applyAlignment="1">
      <alignment horizontal="center"/>
    </xf>
    <xf numFmtId="0" fontId="34" fillId="3" borderId="42" xfId="0" applyFont="1" applyFill="1" applyBorder="1" applyAlignment="1">
      <alignment horizontal="center" vertical="center" wrapText="1" shrinkToFit="1"/>
    </xf>
    <xf numFmtId="0" fontId="34" fillId="3" borderId="43" xfId="0" applyFont="1" applyFill="1" applyBorder="1" applyAlignment="1">
      <alignment horizontal="center" vertical="center" wrapText="1" shrinkToFit="1"/>
    </xf>
    <xf numFmtId="0" fontId="34" fillId="3" borderId="3" xfId="0" applyFont="1" applyFill="1" applyBorder="1" applyAlignment="1">
      <alignment horizontal="center" vertical="center" wrapText="1" shrinkToFit="1"/>
    </xf>
    <xf numFmtId="0" fontId="34" fillId="3" borderId="4" xfId="0" applyFont="1" applyFill="1" applyBorder="1" applyAlignment="1">
      <alignment horizontal="center" vertical="center" wrapText="1" shrinkToFit="1"/>
    </xf>
    <xf numFmtId="0" fontId="34" fillId="3" borderId="5" xfId="0" applyFont="1" applyFill="1" applyBorder="1" applyAlignment="1">
      <alignment horizontal="center" vertical="center" wrapText="1" shrinkToFit="1"/>
    </xf>
    <xf numFmtId="0" fontId="34" fillId="3" borderId="6" xfId="0" applyFont="1" applyFill="1" applyBorder="1" applyAlignment="1">
      <alignment horizontal="center" vertical="center" wrapText="1" shrinkToFit="1"/>
    </xf>
    <xf numFmtId="14" fontId="9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0" fontId="22" fillId="5" borderId="0" xfId="0" applyFont="1" applyFill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31" fillId="0" borderId="0" xfId="3" applyNumberFormat="1" applyFont="1" applyAlignment="1" applyProtection="1">
      <alignment horizontal="center" vertical="center"/>
      <protection locked="0"/>
    </xf>
    <xf numFmtId="0" fontId="27" fillId="6" borderId="1" xfId="3" applyFont="1" applyFill="1" applyBorder="1" applyAlignment="1">
      <alignment horizontal="left" vertical="center" wrapText="1"/>
    </xf>
    <xf numFmtId="0" fontId="27" fillId="6" borderId="2" xfId="3" applyFont="1" applyFill="1" applyBorder="1" applyAlignment="1">
      <alignment horizontal="left" vertical="center" wrapText="1"/>
    </xf>
    <xf numFmtId="0" fontId="27" fillId="6" borderId="5" xfId="3" applyFont="1" applyFill="1" applyBorder="1" applyAlignment="1">
      <alignment horizontal="left" vertical="center" wrapText="1"/>
    </xf>
    <xf numFmtId="0" fontId="27" fillId="6" borderId="6" xfId="3" applyFont="1" applyFill="1" applyBorder="1" applyAlignment="1">
      <alignment horizontal="left" vertical="center" wrapText="1"/>
    </xf>
    <xf numFmtId="0" fontId="30" fillId="0" borderId="0" xfId="3" applyFont="1" applyAlignment="1">
      <alignment horizontal="right" vertical="top"/>
    </xf>
    <xf numFmtId="0" fontId="23" fillId="0" borderId="0" xfId="3" applyFont="1" applyAlignment="1" applyProtection="1">
      <alignment horizontal="left" vertical="top"/>
      <protection locked="0"/>
    </xf>
    <xf numFmtId="0" fontId="28" fillId="7" borderId="1" xfId="3" applyFont="1" applyFill="1" applyBorder="1" applyAlignment="1">
      <alignment horizontal="right" vertical="center" wrapText="1" indent="1"/>
    </xf>
    <xf numFmtId="0" fontId="28" fillId="7" borderId="41" xfId="3" applyFont="1" applyFill="1" applyBorder="1" applyAlignment="1">
      <alignment horizontal="right" vertical="center" wrapText="1" indent="1"/>
    </xf>
    <xf numFmtId="0" fontId="28" fillId="7" borderId="2" xfId="3" applyFont="1" applyFill="1" applyBorder="1" applyAlignment="1">
      <alignment horizontal="right" vertical="center" wrapText="1" indent="1"/>
    </xf>
    <xf numFmtId="0" fontId="30" fillId="0" borderId="0" xfId="3" applyFont="1" applyAlignment="1">
      <alignment horizontal="left" vertical="center"/>
    </xf>
    <xf numFmtId="0" fontId="26" fillId="0" borderId="50" xfId="3" applyFont="1" applyBorder="1" applyAlignment="1">
      <alignment horizontal="center" vertical="center" wrapText="1"/>
    </xf>
    <xf numFmtId="0" fontId="26" fillId="0" borderId="51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30" fillId="0" borderId="0" xfId="3" applyFont="1" applyAlignment="1" applyProtection="1">
      <alignment horizontal="left" vertical="center"/>
      <protection locked="0"/>
    </xf>
    <xf numFmtId="165" fontId="30" fillId="0" borderId="0" xfId="3" applyNumberFormat="1" applyFont="1" applyAlignment="1" applyProtection="1">
      <alignment horizontal="left" vertical="center"/>
      <protection locked="0"/>
    </xf>
    <xf numFmtId="0" fontId="33" fillId="0" borderId="0" xfId="3" applyFont="1" applyAlignment="1" applyProtection="1">
      <alignment horizontal="left" vertical="center"/>
      <protection locked="0"/>
    </xf>
    <xf numFmtId="165" fontId="24" fillId="0" borderId="0" xfId="3" applyNumberFormat="1" applyFont="1" applyAlignment="1">
      <alignment horizontal="center" vertical="center"/>
    </xf>
    <xf numFmtId="49" fontId="31" fillId="0" borderId="0" xfId="3" applyNumberFormat="1" applyFont="1" applyAlignment="1" applyProtection="1">
      <alignment horizontal="left" vertical="center"/>
      <protection locked="0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61"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1293019</xdr:colOff>
      <xdr:row>3</xdr:row>
      <xdr:rowOff>83269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6119" cy="797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1569244</xdr:colOff>
      <xdr:row>3</xdr:row>
      <xdr:rowOff>149944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6119" cy="797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115094</xdr:colOff>
      <xdr:row>3</xdr:row>
      <xdr:rowOff>83269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36119" cy="797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104774</xdr:rowOff>
    </xdr:from>
    <xdr:to>
      <xdr:col>8</xdr:col>
      <xdr:colOff>104775</xdr:colOff>
      <xdr:row>7</xdr:row>
      <xdr:rowOff>98297</xdr:rowOff>
    </xdr:to>
    <xdr:sp macro="" textlink="">
      <xdr:nvSpPr>
        <xdr:cNvPr id="2" name="Flowchart: 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24000" y="1247774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104775</xdr:colOff>
      <xdr:row>6</xdr:row>
      <xdr:rowOff>104775</xdr:rowOff>
    </xdr:from>
    <xdr:to>
      <xdr:col>18</xdr:col>
      <xdr:colOff>85725</xdr:colOff>
      <xdr:row>7</xdr:row>
      <xdr:rowOff>98298</xdr:rowOff>
    </xdr:to>
    <xdr:sp macro="" textlink="">
      <xdr:nvSpPr>
        <xdr:cNvPr id="3" name="Flowchart: 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505200" y="1247775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25</xdr:col>
      <xdr:colOff>104775</xdr:colOff>
      <xdr:row>7</xdr:row>
      <xdr:rowOff>104775</xdr:rowOff>
    </xdr:from>
    <xdr:to>
      <xdr:col>26</xdr:col>
      <xdr:colOff>85725</xdr:colOff>
      <xdr:row>8</xdr:row>
      <xdr:rowOff>98298</xdr:rowOff>
    </xdr:to>
    <xdr:sp macro="" textlink="">
      <xdr:nvSpPr>
        <xdr:cNvPr id="4" name="Flowchart: 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05400" y="1438275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114300</xdr:colOff>
      <xdr:row>18</xdr:row>
      <xdr:rowOff>114300</xdr:rowOff>
    </xdr:from>
    <xdr:to>
      <xdr:col>9</xdr:col>
      <xdr:colOff>95250</xdr:colOff>
      <xdr:row>19</xdr:row>
      <xdr:rowOff>107823</xdr:rowOff>
    </xdr:to>
    <xdr:sp macro="" textlink="">
      <xdr:nvSpPr>
        <xdr:cNvPr id="5" name="Flowchart: 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714500" y="3543300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19050</xdr:colOff>
      <xdr:row>20</xdr:row>
      <xdr:rowOff>95250</xdr:rowOff>
    </xdr:from>
    <xdr:to>
      <xdr:col>21</xdr:col>
      <xdr:colOff>0</xdr:colOff>
      <xdr:row>21</xdr:row>
      <xdr:rowOff>88773</xdr:rowOff>
    </xdr:to>
    <xdr:sp macro="" textlink="">
      <xdr:nvSpPr>
        <xdr:cNvPr id="6" name="Flowchart: 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019550" y="3905250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114300</xdr:colOff>
      <xdr:row>42</xdr:row>
      <xdr:rowOff>95250</xdr:rowOff>
    </xdr:from>
    <xdr:to>
      <xdr:col>16</xdr:col>
      <xdr:colOff>95250</xdr:colOff>
      <xdr:row>43</xdr:row>
      <xdr:rowOff>88773</xdr:rowOff>
    </xdr:to>
    <xdr:sp macro="" textlink="">
      <xdr:nvSpPr>
        <xdr:cNvPr id="7" name="Flowchart: 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114675" y="6381750"/>
          <a:ext cx="180975" cy="184023"/>
        </a:xfrm>
        <a:prstGeom prst="flowChar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59531</xdr:rowOff>
    </xdr:from>
    <xdr:to>
      <xdr:col>1</xdr:col>
      <xdr:colOff>3125203</xdr:colOff>
      <xdr:row>3</xdr:row>
      <xdr:rowOff>119062</xdr:rowOff>
    </xdr:to>
    <xdr:pic>
      <xdr:nvPicPr>
        <xdr:cNvPr id="3" name="Picture 2" descr="hydro-blok_web_900_tagline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81" y="309562"/>
          <a:ext cx="4542047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916932</xdr:colOff>
      <xdr:row>72</xdr:row>
      <xdr:rowOff>75537</xdr:rowOff>
    </xdr:to>
    <xdr:pic>
      <xdr:nvPicPr>
        <xdr:cNvPr id="4" name="Picture 3" descr="Doc1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251156"/>
          <a:ext cx="2488557" cy="276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92"/>
  <sheetViews>
    <sheetView showGridLines="0" tabSelected="1" zoomScaleNormal="100" workbookViewId="0">
      <selection activeCell="B5" sqref="B5:C5"/>
    </sheetView>
  </sheetViews>
  <sheetFormatPr defaultRowHeight="15" x14ac:dyDescent="0.25"/>
  <cols>
    <col min="1" max="1" width="29.140625" customWidth="1"/>
    <col min="2" max="2" width="24.5703125" style="45" customWidth="1"/>
    <col min="3" max="3" width="13.7109375" customWidth="1"/>
    <col min="4" max="4" width="12.5703125" customWidth="1"/>
    <col min="5" max="5" width="28.7109375" customWidth="1"/>
    <col min="6" max="6" width="18.28515625" customWidth="1"/>
    <col min="7" max="7" width="14" customWidth="1"/>
    <col min="8" max="8" width="7.85546875" customWidth="1"/>
    <col min="9" max="9" width="13.28515625" customWidth="1"/>
    <col min="10" max="10" width="23.42578125" hidden="1" customWidth="1"/>
    <col min="11" max="11" width="15.5703125" style="45" hidden="1" customWidth="1"/>
    <col min="12" max="15" width="9.140625" hidden="1" customWidth="1"/>
    <col min="16" max="16" width="9.140625" customWidth="1"/>
  </cols>
  <sheetData>
    <row r="1" spans="1:15" ht="26.25" x14ac:dyDescent="0.4">
      <c r="E1" s="183" t="s">
        <v>170</v>
      </c>
      <c r="F1" s="183"/>
      <c r="G1" s="184">
        <f ca="1">TODAY()</f>
        <v>45008</v>
      </c>
      <c r="H1" s="184"/>
      <c r="I1" s="73"/>
      <c r="L1" s="155" t="s">
        <v>218</v>
      </c>
      <c r="M1" s="157" t="s">
        <v>217</v>
      </c>
    </row>
    <row r="2" spans="1:15" x14ac:dyDescent="0.25">
      <c r="E2" s="186" t="s">
        <v>26</v>
      </c>
      <c r="F2" s="186"/>
      <c r="G2" s="46"/>
      <c r="H2" s="46"/>
      <c r="I2" s="165"/>
      <c r="J2" t="s">
        <v>28</v>
      </c>
    </row>
    <row r="3" spans="1:15" x14ac:dyDescent="0.25">
      <c r="J3" t="s">
        <v>235</v>
      </c>
      <c r="K3" s="154">
        <f>36*60/144*1</f>
        <v>15</v>
      </c>
      <c r="L3" s="156">
        <f>B15</f>
        <v>0</v>
      </c>
      <c r="M3" s="158">
        <f>IF(B29=J12,F62/10*L3,IF(B29=J13,F62/20*L3,0))</f>
        <v>0</v>
      </c>
    </row>
    <row r="4" spans="1:15" x14ac:dyDescent="0.25">
      <c r="J4" t="s">
        <v>236</v>
      </c>
      <c r="K4" s="154">
        <f>36*60/144*1</f>
        <v>15</v>
      </c>
      <c r="L4" s="156">
        <f>B16</f>
        <v>0</v>
      </c>
      <c r="M4" s="158">
        <f>IF(B29=J12,F62/10*L4,IF(B29=J13,F62/20*L4,0))</f>
        <v>0</v>
      </c>
    </row>
    <row r="5" spans="1:15" ht="15" customHeight="1" x14ac:dyDescent="0.25">
      <c r="A5" s="102" t="s">
        <v>143</v>
      </c>
      <c r="B5" s="195"/>
      <c r="C5" s="195"/>
      <c r="D5" s="173" t="s">
        <v>215</v>
      </c>
      <c r="E5" s="193"/>
      <c r="F5" s="193"/>
      <c r="J5" t="s">
        <v>240</v>
      </c>
      <c r="K5" s="154">
        <f>48*64/144*1</f>
        <v>21.333333333333332</v>
      </c>
      <c r="L5" s="156">
        <f>B17</f>
        <v>0</v>
      </c>
      <c r="M5" s="158">
        <f>IF(B29=J12,F62/10*L5,IF(B29=J13,F62/20*L5,0))</f>
        <v>0</v>
      </c>
    </row>
    <row r="6" spans="1:15" x14ac:dyDescent="0.25">
      <c r="A6" s="102" t="s">
        <v>156</v>
      </c>
      <c r="B6" s="195"/>
      <c r="C6" s="195"/>
      <c r="D6" s="173"/>
      <c r="E6" s="193"/>
      <c r="F6" s="193"/>
      <c r="J6" t="s">
        <v>241</v>
      </c>
      <c r="K6" s="154">
        <f>36*60/144*0.75</f>
        <v>11.25</v>
      </c>
      <c r="L6" s="156">
        <f>K6*F19</f>
        <v>0</v>
      </c>
      <c r="M6" s="158">
        <f>IF(B29=J12,F62/10*L6,IF(B29=J13,F62/20*L6,0))</f>
        <v>0</v>
      </c>
    </row>
    <row r="7" spans="1:15" x14ac:dyDescent="0.25">
      <c r="A7" s="102" t="s">
        <v>144</v>
      </c>
      <c r="B7" s="195"/>
      <c r="C7" s="195"/>
      <c r="D7" s="173" t="s">
        <v>216</v>
      </c>
      <c r="E7" s="194"/>
      <c r="F7" s="194"/>
      <c r="J7" t="s">
        <v>357</v>
      </c>
      <c r="K7" s="154">
        <f>36*48/144*2</f>
        <v>24</v>
      </c>
      <c r="L7" s="156">
        <f>F20*K7</f>
        <v>0</v>
      </c>
      <c r="M7" s="158">
        <f>IF(B29=J12,F62/10*L7,IF(B29=J13,F62/20*L7,0))</f>
        <v>0</v>
      </c>
    </row>
    <row r="8" spans="1:15" x14ac:dyDescent="0.25">
      <c r="A8" s="102"/>
      <c r="B8" s="195"/>
      <c r="C8" s="195"/>
      <c r="D8" s="45"/>
      <c r="J8" t="s">
        <v>14</v>
      </c>
      <c r="K8" s="154">
        <f>48*60/144*2</f>
        <v>40</v>
      </c>
      <c r="L8" s="156">
        <f>F21*K8</f>
        <v>0</v>
      </c>
      <c r="M8" s="158">
        <f>IF(B29=J12,F62/10*L8,IF(B29=J13,F62/20*L8,0))</f>
        <v>0</v>
      </c>
    </row>
    <row r="9" spans="1:15" x14ac:dyDescent="0.25">
      <c r="A9" s="102" t="s">
        <v>129</v>
      </c>
      <c r="B9" s="196"/>
      <c r="C9" s="196"/>
      <c r="D9" s="103"/>
      <c r="J9" t="s">
        <v>197</v>
      </c>
      <c r="K9" s="154">
        <f>44*96/144*2</f>
        <v>58.666666666666664</v>
      </c>
      <c r="L9" s="156">
        <f>F22*K9</f>
        <v>0</v>
      </c>
      <c r="M9" s="158">
        <f>IF(B29=J12,F62/10*L9,IF(B29=J13,F62/20*L9,0))</f>
        <v>0</v>
      </c>
    </row>
    <row r="10" spans="1:15" x14ac:dyDescent="0.25">
      <c r="A10" s="102" t="s">
        <v>130</v>
      </c>
      <c r="B10" s="196"/>
      <c r="C10" s="196"/>
      <c r="D10" s="103"/>
    </row>
    <row r="11" spans="1:15" x14ac:dyDescent="0.25">
      <c r="A11" s="102" t="s">
        <v>128</v>
      </c>
      <c r="B11" s="197"/>
      <c r="C11" s="198"/>
      <c r="D11" s="174"/>
      <c r="F11" s="166" t="s">
        <v>172</v>
      </c>
      <c r="J11" t="s">
        <v>28</v>
      </c>
      <c r="K11" s="45">
        <v>0</v>
      </c>
    </row>
    <row r="12" spans="1:15" x14ac:dyDescent="0.25">
      <c r="F12" s="74" t="s">
        <v>121</v>
      </c>
      <c r="J12" t="s">
        <v>7</v>
      </c>
      <c r="K12" s="45">
        <f>ROUNDUP(B28/10,0)</f>
        <v>0</v>
      </c>
      <c r="M12" t="str">
        <f>Values!A9</f>
        <v>HBJSCART</v>
      </c>
    </row>
    <row r="13" spans="1:15" x14ac:dyDescent="0.25">
      <c r="J13" t="s">
        <v>8</v>
      </c>
      <c r="K13" s="45">
        <f>ROUNDUP(B28/20,0)</f>
        <v>0</v>
      </c>
      <c r="M13" t="str">
        <f>Values!A10</f>
        <v>HBJSSAUS</v>
      </c>
    </row>
    <row r="14" spans="1:15" x14ac:dyDescent="0.25">
      <c r="A14" s="78" t="s">
        <v>242</v>
      </c>
      <c r="B14" s="172" t="s">
        <v>279</v>
      </c>
      <c r="E14" s="78" t="s">
        <v>106</v>
      </c>
      <c r="F14" s="85"/>
    </row>
    <row r="15" spans="1:15" x14ac:dyDescent="0.25">
      <c r="A15" s="79" t="s">
        <v>237</v>
      </c>
      <c r="B15" s="80"/>
      <c r="E15" s="151" t="s">
        <v>205</v>
      </c>
      <c r="F15" s="83"/>
      <c r="J15" t="s">
        <v>28</v>
      </c>
    </row>
    <row r="16" spans="1:15" x14ac:dyDescent="0.25">
      <c r="A16" s="79" t="s">
        <v>274</v>
      </c>
      <c r="B16" s="80"/>
      <c r="E16" s="151" t="s">
        <v>206</v>
      </c>
      <c r="F16" s="83"/>
      <c r="J16" t="s">
        <v>21</v>
      </c>
      <c r="K16" s="45">
        <v>10</v>
      </c>
      <c r="L16" s="156">
        <f>IF(B24=J16,K16,0)+IF(B25=J16,K16,0)</f>
        <v>0</v>
      </c>
      <c r="M16" t="s">
        <v>334</v>
      </c>
      <c r="O16" s="158">
        <f>IF(B29=J12,F62/10*L16,IF(B29=J13,F62/20*L16,0))</f>
        <v>0</v>
      </c>
    </row>
    <row r="17" spans="1:18" x14ac:dyDescent="0.25">
      <c r="A17" s="81" t="s">
        <v>275</v>
      </c>
      <c r="B17" s="175"/>
      <c r="E17" s="151" t="s">
        <v>353</v>
      </c>
      <c r="F17" s="83"/>
      <c r="J17" t="s">
        <v>22</v>
      </c>
      <c r="K17" s="45">
        <v>10</v>
      </c>
      <c r="L17" s="156">
        <f>IF(B24=J17,K17,0)+IF(B25=J17,K17,0)</f>
        <v>0</v>
      </c>
      <c r="M17" t="s">
        <v>335</v>
      </c>
      <c r="O17" s="158">
        <f>IF(B29=J12,F62/10*L17,IF(B29=J13,F62/20*L17,0))</f>
        <v>0</v>
      </c>
    </row>
    <row r="18" spans="1:18" x14ac:dyDescent="0.25">
      <c r="A18" s="68"/>
      <c r="B18" s="61"/>
      <c r="E18" s="93" t="s">
        <v>109</v>
      </c>
      <c r="F18" s="83"/>
      <c r="J18" t="s">
        <v>24</v>
      </c>
      <c r="K18" s="45">
        <v>10</v>
      </c>
      <c r="L18" s="156">
        <f>IF(B24=J18,K18,0)+IF(B25=J18,K18,0)</f>
        <v>0</v>
      </c>
      <c r="M18" t="s">
        <v>282</v>
      </c>
      <c r="O18" s="158">
        <f>IF(B29=J12,F62/10*L18,IF(B29=J13,F62/20*L18,0))</f>
        <v>0</v>
      </c>
    </row>
    <row r="19" spans="1:18" x14ac:dyDescent="0.25">
      <c r="A19" s="78" t="s">
        <v>23</v>
      </c>
      <c r="B19" s="53"/>
      <c r="E19" s="93" t="s">
        <v>189</v>
      </c>
      <c r="F19" s="83"/>
      <c r="J19" t="s">
        <v>350</v>
      </c>
      <c r="K19" s="45">
        <v>10</v>
      </c>
      <c r="L19" s="156">
        <f>IF(B24=J19,K19,0)+IF(B25=J19,K19,0)</f>
        <v>0</v>
      </c>
      <c r="M19" t="s">
        <v>328</v>
      </c>
      <c r="O19" s="158">
        <f>IF(B29=J12,F62/10*L19,IF(B29=J13,F62/20*L19,0))</f>
        <v>0</v>
      </c>
    </row>
    <row r="20" spans="1:18" x14ac:dyDescent="0.25">
      <c r="A20" s="79" t="s">
        <v>114</v>
      </c>
      <c r="B20" s="80"/>
      <c r="E20" s="93" t="s">
        <v>356</v>
      </c>
      <c r="F20" s="83"/>
      <c r="J20" t="s">
        <v>351</v>
      </c>
      <c r="K20" s="45">
        <v>10</v>
      </c>
      <c r="L20" s="156">
        <f>IF(B24=J20,K20,0)+IF(B25=J20,K20,0)</f>
        <v>0</v>
      </c>
      <c r="M20" t="s">
        <v>329</v>
      </c>
      <c r="O20" s="158">
        <f>IF(B29=J12,F62/10*L20,IF(B29=J13,F62/20*L20,0))</f>
        <v>0</v>
      </c>
    </row>
    <row r="21" spans="1:18" x14ac:dyDescent="0.25">
      <c r="A21" s="79" t="s">
        <v>1</v>
      </c>
      <c r="B21" s="80" t="s">
        <v>28</v>
      </c>
      <c r="E21" s="93" t="s">
        <v>190</v>
      </c>
      <c r="F21" s="83"/>
      <c r="J21" t="s">
        <v>224</v>
      </c>
      <c r="K21" s="45">
        <v>10</v>
      </c>
      <c r="L21" s="156">
        <f>IF(B24=J21,K21,0)+IF(B25=J21,K21,0)</f>
        <v>0</v>
      </c>
      <c r="M21" t="s">
        <v>283</v>
      </c>
      <c r="O21" s="158">
        <f>IF(B29=J12,F62/10*L21,IF(B29=J13,F62/20*L21,0))</f>
        <v>0</v>
      </c>
    </row>
    <row r="22" spans="1:18" x14ac:dyDescent="0.25">
      <c r="A22" s="79" t="s">
        <v>188</v>
      </c>
      <c r="B22" s="83" t="s">
        <v>28</v>
      </c>
      <c r="E22" s="93" t="s">
        <v>191</v>
      </c>
      <c r="F22" s="83"/>
      <c r="J22" t="s">
        <v>207</v>
      </c>
      <c r="K22" s="45">
        <v>10</v>
      </c>
      <c r="L22" s="156">
        <f>IF(B24=J22,K22,0)+IF(B25=J22,K22,0)</f>
        <v>0</v>
      </c>
      <c r="M22" t="s">
        <v>284</v>
      </c>
      <c r="O22" s="158">
        <f>IF(B29=J12,F62/10*L22,IF(B29=J13,F62/20*L22,0))</f>
        <v>0</v>
      </c>
    </row>
    <row r="23" spans="1:18" x14ac:dyDescent="0.25">
      <c r="A23" s="79" t="s">
        <v>212</v>
      </c>
      <c r="B23" s="83"/>
      <c r="E23" s="93" t="s">
        <v>202</v>
      </c>
      <c r="F23" s="83"/>
      <c r="J23" t="s">
        <v>225</v>
      </c>
      <c r="K23" s="45">
        <v>10</v>
      </c>
      <c r="L23" s="156">
        <f>IF(B24=J23,K23,0)+IF(B25=J23,K23,0)</f>
        <v>0</v>
      </c>
      <c r="M23" t="s">
        <v>285</v>
      </c>
      <c r="O23" s="158">
        <f>IF(B29=J12,F62/10*L23,IF(B29=J13,F62/20*L23,0))</f>
        <v>0</v>
      </c>
    </row>
    <row r="24" spans="1:18" x14ac:dyDescent="0.25">
      <c r="A24" s="79" t="s">
        <v>116</v>
      </c>
      <c r="B24" s="83" t="s">
        <v>28</v>
      </c>
      <c r="E24" s="93" t="s">
        <v>200</v>
      </c>
      <c r="F24" s="83"/>
    </row>
    <row r="25" spans="1:18" x14ac:dyDescent="0.25">
      <c r="A25" s="81" t="s">
        <v>117</v>
      </c>
      <c r="B25" s="84" t="s">
        <v>28</v>
      </c>
      <c r="E25" s="93" t="s">
        <v>201</v>
      </c>
      <c r="F25" s="83"/>
      <c r="J25" t="s">
        <v>28</v>
      </c>
    </row>
    <row r="26" spans="1:18" x14ac:dyDescent="0.25">
      <c r="E26" s="93" t="s">
        <v>203</v>
      </c>
      <c r="F26" s="83"/>
      <c r="J26" t="s">
        <v>9</v>
      </c>
      <c r="M26" s="45" t="s">
        <v>34</v>
      </c>
    </row>
    <row r="27" spans="1:18" x14ac:dyDescent="0.25">
      <c r="A27" s="78" t="s">
        <v>5</v>
      </c>
      <c r="B27" s="77"/>
      <c r="E27" s="93" t="s">
        <v>155</v>
      </c>
      <c r="F27" s="83"/>
      <c r="I27" s="40"/>
      <c r="J27" t="s">
        <v>10</v>
      </c>
      <c r="M27" s="45" t="s">
        <v>35</v>
      </c>
    </row>
    <row r="28" spans="1:18" x14ac:dyDescent="0.25">
      <c r="A28" s="79" t="s">
        <v>6</v>
      </c>
      <c r="B28" s="144">
        <f>SUM(L3:L86)*1.1</f>
        <v>0</v>
      </c>
      <c r="E28" s="93" t="s">
        <v>259</v>
      </c>
      <c r="F28" s="83"/>
      <c r="I28" s="41"/>
      <c r="J28" t="s">
        <v>4</v>
      </c>
      <c r="M28" s="45" t="s">
        <v>36</v>
      </c>
      <c r="Q28" s="49"/>
    </row>
    <row r="29" spans="1:18" ht="15" customHeight="1" x14ac:dyDescent="0.25">
      <c r="A29" s="79" t="s">
        <v>27</v>
      </c>
      <c r="B29" s="80" t="s">
        <v>7</v>
      </c>
      <c r="E29" s="93" t="s">
        <v>265</v>
      </c>
      <c r="F29" s="83"/>
      <c r="I29" s="41"/>
      <c r="J29" t="s">
        <v>11</v>
      </c>
      <c r="M29" s="45" t="s">
        <v>37</v>
      </c>
      <c r="R29" s="49"/>
    </row>
    <row r="30" spans="1:18" ht="15" customHeight="1" x14ac:dyDescent="0.25">
      <c r="A30" s="81" t="s">
        <v>173</v>
      </c>
      <c r="B30" s="82">
        <f>VLOOKUP(B29,J11:K13,2,FALSE)</f>
        <v>0</v>
      </c>
      <c r="E30" s="93" t="s">
        <v>262</v>
      </c>
      <c r="F30" s="83"/>
      <c r="I30" s="41"/>
      <c r="J30" t="s">
        <v>12</v>
      </c>
      <c r="M30" s="45" t="s">
        <v>38</v>
      </c>
    </row>
    <row r="31" spans="1:18" x14ac:dyDescent="0.25">
      <c r="E31" s="161" t="s">
        <v>278</v>
      </c>
      <c r="F31" s="84"/>
      <c r="I31" s="41"/>
      <c r="J31" t="s">
        <v>13</v>
      </c>
      <c r="M31" s="45" t="s">
        <v>39</v>
      </c>
    </row>
    <row r="32" spans="1:18" x14ac:dyDescent="0.25">
      <c r="A32" s="78" t="s">
        <v>0</v>
      </c>
      <c r="B32" s="53"/>
      <c r="I32" s="41"/>
      <c r="J32" t="s">
        <v>14</v>
      </c>
      <c r="M32" s="45" t="s">
        <v>40</v>
      </c>
    </row>
    <row r="33" spans="1:18" x14ac:dyDescent="0.25">
      <c r="A33" s="152" t="s">
        <v>204</v>
      </c>
      <c r="B33" s="83"/>
      <c r="E33" s="86" t="s">
        <v>161</v>
      </c>
      <c r="F33" s="87">
        <f>H82</f>
        <v>0</v>
      </c>
      <c r="I33" s="41"/>
      <c r="J33" t="s">
        <v>15</v>
      </c>
      <c r="M33" s="45" t="s">
        <v>41</v>
      </c>
    </row>
    <row r="34" spans="1:18" x14ac:dyDescent="0.25">
      <c r="A34" s="153" t="s">
        <v>360</v>
      </c>
      <c r="B34" s="84"/>
      <c r="E34" s="79" t="s">
        <v>162</v>
      </c>
      <c r="F34" s="88"/>
      <c r="I34" s="41"/>
      <c r="J34" t="s">
        <v>16</v>
      </c>
      <c r="M34" s="45" t="s">
        <v>42</v>
      </c>
    </row>
    <row r="35" spans="1:18" x14ac:dyDescent="0.25">
      <c r="A35" s="68"/>
      <c r="B35" s="61"/>
      <c r="E35" s="81" t="s">
        <v>168</v>
      </c>
      <c r="F35" s="89">
        <f>F33+F33*F34</f>
        <v>0</v>
      </c>
      <c r="I35" s="41"/>
      <c r="J35" t="s">
        <v>17</v>
      </c>
      <c r="M35" s="45" t="s">
        <v>43</v>
      </c>
    </row>
    <row r="36" spans="1:18" x14ac:dyDescent="0.25">
      <c r="E36" s="98" t="s">
        <v>171</v>
      </c>
      <c r="J36" t="s">
        <v>18</v>
      </c>
      <c r="M36" s="45" t="s">
        <v>44</v>
      </c>
    </row>
    <row r="37" spans="1:18" x14ac:dyDescent="0.25">
      <c r="A37" s="47" t="s">
        <v>134</v>
      </c>
      <c r="J37" t="s">
        <v>19</v>
      </c>
      <c r="M37" s="45" t="s">
        <v>45</v>
      </c>
    </row>
    <row r="38" spans="1:18" x14ac:dyDescent="0.25">
      <c r="A38" s="193"/>
      <c r="B38" s="193"/>
      <c r="C38" s="193"/>
      <c r="D38" s="193"/>
      <c r="E38" s="193"/>
      <c r="F38" s="193"/>
      <c r="G38" s="193"/>
      <c r="H38" s="193"/>
      <c r="J38" t="s">
        <v>20</v>
      </c>
      <c r="M38" s="45" t="s">
        <v>46</v>
      </c>
    </row>
    <row r="39" spans="1:18" x14ac:dyDescent="0.25">
      <c r="A39" s="193"/>
      <c r="B39" s="193"/>
      <c r="C39" s="193"/>
      <c r="D39" s="193"/>
      <c r="E39" s="193"/>
      <c r="F39" s="193"/>
      <c r="G39" s="193"/>
      <c r="H39" s="193"/>
      <c r="J39" t="s">
        <v>337</v>
      </c>
      <c r="M39" s="45" t="s">
        <v>302</v>
      </c>
    </row>
    <row r="40" spans="1:18" x14ac:dyDescent="0.25">
      <c r="A40" s="193"/>
      <c r="B40" s="193"/>
      <c r="C40" s="193"/>
      <c r="D40" s="193"/>
      <c r="E40" s="193"/>
      <c r="F40" s="193"/>
      <c r="G40" s="193"/>
      <c r="H40" s="193"/>
      <c r="J40" t="s">
        <v>338</v>
      </c>
      <c r="M40" s="45" t="s">
        <v>303</v>
      </c>
    </row>
    <row r="41" spans="1:18" x14ac:dyDescent="0.25">
      <c r="A41" s="193"/>
      <c r="B41" s="193"/>
      <c r="C41" s="193"/>
      <c r="D41" s="193"/>
      <c r="E41" s="193"/>
      <c r="F41" s="193"/>
      <c r="G41" s="193"/>
      <c r="H41" s="193"/>
      <c r="J41" t="s">
        <v>339</v>
      </c>
      <c r="M41" s="45" t="s">
        <v>304</v>
      </c>
      <c r="Q41" s="49"/>
    </row>
    <row r="42" spans="1:18" x14ac:dyDescent="0.25">
      <c r="A42" s="193"/>
      <c r="B42" s="193"/>
      <c r="C42" s="193"/>
      <c r="D42" s="193"/>
      <c r="E42" s="193"/>
      <c r="F42" s="193"/>
      <c r="G42" s="193"/>
      <c r="H42" s="193"/>
      <c r="J42" t="s">
        <v>341</v>
      </c>
      <c r="M42" s="45" t="s">
        <v>305</v>
      </c>
      <c r="R42" s="49"/>
    </row>
    <row r="43" spans="1:18" x14ac:dyDescent="0.25">
      <c r="A43" s="193"/>
      <c r="B43" s="193"/>
      <c r="C43" s="193"/>
      <c r="D43" s="193"/>
      <c r="E43" s="193"/>
      <c r="F43" s="193"/>
      <c r="G43" s="193"/>
      <c r="H43" s="193"/>
      <c r="J43" t="s">
        <v>340</v>
      </c>
      <c r="M43" s="45" t="s">
        <v>306</v>
      </c>
    </row>
    <row r="44" spans="1:18" x14ac:dyDescent="0.25">
      <c r="A44" s="68"/>
      <c r="B44" s="61"/>
      <c r="J44" t="s">
        <v>342</v>
      </c>
      <c r="M44" s="45" t="s">
        <v>307</v>
      </c>
    </row>
    <row r="45" spans="1:18" hidden="1" x14ac:dyDescent="0.25">
      <c r="J45" t="s">
        <v>343</v>
      </c>
      <c r="M45" s="45" t="s">
        <v>308</v>
      </c>
    </row>
    <row r="46" spans="1:18" hidden="1" x14ac:dyDescent="0.25">
      <c r="E46" s="48"/>
      <c r="F46" s="61"/>
      <c r="J46" t="s">
        <v>344</v>
      </c>
      <c r="M46" s="45" t="s">
        <v>309</v>
      </c>
    </row>
    <row r="47" spans="1:18" hidden="1" x14ac:dyDescent="0.25">
      <c r="J47" t="s">
        <v>345</v>
      </c>
      <c r="M47" s="45" t="s">
        <v>310</v>
      </c>
    </row>
    <row r="48" spans="1:18" hidden="1" x14ac:dyDescent="0.25">
      <c r="J48" t="s">
        <v>346</v>
      </c>
      <c r="M48" s="45" t="s">
        <v>311</v>
      </c>
    </row>
    <row r="49" spans="1:14" ht="21" hidden="1" x14ac:dyDescent="0.35">
      <c r="A49" s="183" t="s">
        <v>25</v>
      </c>
      <c r="B49" s="187"/>
      <c r="C49" s="187"/>
      <c r="D49" s="187"/>
      <c r="E49" s="187"/>
      <c r="F49" s="187"/>
      <c r="G49" s="187"/>
      <c r="H49" s="187"/>
      <c r="J49" t="s">
        <v>347</v>
      </c>
      <c r="M49" s="45" t="s">
        <v>312</v>
      </c>
    </row>
    <row r="50" spans="1:14" hidden="1" x14ac:dyDescent="0.25">
      <c r="A50" s="188" t="s">
        <v>26</v>
      </c>
      <c r="B50" s="188"/>
      <c r="C50" s="188"/>
      <c r="D50" s="188"/>
      <c r="E50" s="188"/>
      <c r="F50" s="188"/>
      <c r="G50" s="188"/>
      <c r="H50" s="188"/>
      <c r="J50" t="s">
        <v>348</v>
      </c>
      <c r="M50" s="45" t="s">
        <v>313</v>
      </c>
    </row>
    <row r="51" spans="1:14" hidden="1" x14ac:dyDescent="0.25">
      <c r="I51" s="59"/>
      <c r="J51" t="s">
        <v>349</v>
      </c>
      <c r="M51" s="45" t="s">
        <v>314</v>
      </c>
    </row>
    <row r="52" spans="1:14" hidden="1" x14ac:dyDescent="0.25">
      <c r="I52" s="59"/>
      <c r="J52" t="s">
        <v>208</v>
      </c>
      <c r="K52" s="45">
        <f>IF(B$21=J52,1,0)</f>
        <v>0</v>
      </c>
      <c r="M52" s="45" t="s">
        <v>175</v>
      </c>
    </row>
    <row r="53" spans="1:14" hidden="1" x14ac:dyDescent="0.25">
      <c r="A53" s="64" t="s">
        <v>62</v>
      </c>
      <c r="B53" s="189" t="s">
        <v>63</v>
      </c>
      <c r="C53" s="190"/>
      <c r="D53" s="190"/>
      <c r="E53" s="191"/>
      <c r="F53" s="65" t="s">
        <v>70</v>
      </c>
      <c r="G53" s="66" t="s">
        <v>29</v>
      </c>
      <c r="H53" s="65" t="s">
        <v>71</v>
      </c>
      <c r="I53" s="59"/>
      <c r="J53" t="s">
        <v>209</v>
      </c>
      <c r="K53" s="45">
        <f>IF(B$21=J53,1,0)</f>
        <v>0</v>
      </c>
      <c r="M53" s="45" t="s">
        <v>176</v>
      </c>
    </row>
    <row r="54" spans="1:14" hidden="1" x14ac:dyDescent="0.25">
      <c r="A54" s="35" t="s">
        <v>30</v>
      </c>
      <c r="B54" s="192" t="str">
        <f>Values!B74</f>
        <v>36" x 60" x ½" Board</v>
      </c>
      <c r="C54" s="192"/>
      <c r="D54" s="192"/>
      <c r="E54" s="192"/>
      <c r="F54" s="135">
        <f>Values!D74</f>
        <v>0</v>
      </c>
      <c r="G54" s="137">
        <f>ROUNDUP(B15/15*1.1,0)</f>
        <v>0</v>
      </c>
      <c r="H54" s="135">
        <f>F54*G54</f>
        <v>0</v>
      </c>
      <c r="I54" s="60"/>
      <c r="J54" t="s">
        <v>210</v>
      </c>
      <c r="K54" s="45">
        <f>IF(B$21=J54,1,0)</f>
        <v>0</v>
      </c>
      <c r="M54" s="45" t="s">
        <v>177</v>
      </c>
    </row>
    <row r="55" spans="1:14" hidden="1" x14ac:dyDescent="0.25">
      <c r="A55" s="37" t="s">
        <v>238</v>
      </c>
      <c r="B55" s="45" t="str">
        <f>Values!B76</f>
        <v>36" x 60" x ⅝" Board</v>
      </c>
      <c r="C55" s="45"/>
      <c r="D55" s="45"/>
      <c r="E55" s="45"/>
      <c r="F55" s="36">
        <f>Values!D76</f>
        <v>0</v>
      </c>
      <c r="G55" s="138">
        <f>ROUNDUP(B16/15*1.1,0)</f>
        <v>0</v>
      </c>
      <c r="H55" s="36">
        <f>F55*G55</f>
        <v>0</v>
      </c>
      <c r="I55" s="60"/>
      <c r="J55" t="s">
        <v>211</v>
      </c>
      <c r="K55" s="45">
        <f>IF(B$21=J55,1,0)</f>
        <v>0</v>
      </c>
      <c r="M55" s="45" t="s">
        <v>178</v>
      </c>
    </row>
    <row r="56" spans="1:14" hidden="1" x14ac:dyDescent="0.25">
      <c r="A56" s="37" t="s">
        <v>31</v>
      </c>
      <c r="B56" s="45" t="str">
        <f>Values!B79</f>
        <v>48" x 64" x ½" Board</v>
      </c>
      <c r="C56" s="45"/>
      <c r="D56" s="45"/>
      <c r="E56" s="45"/>
      <c r="F56" s="36">
        <f>Values!D79</f>
        <v>0</v>
      </c>
      <c r="G56" s="138">
        <f>ROUNDUP(B17/21.33*1.1,0)</f>
        <v>0</v>
      </c>
      <c r="H56" s="36">
        <f>F56*G56</f>
        <v>0</v>
      </c>
      <c r="I56" s="60"/>
      <c r="J56" t="s">
        <v>226</v>
      </c>
      <c r="K56" s="45">
        <f t="shared" ref="K56:K59" si="0">IF(B$21=J56,1,0)</f>
        <v>0</v>
      </c>
      <c r="M56" s="45" t="s">
        <v>220</v>
      </c>
    </row>
    <row r="57" spans="1:14" hidden="1" x14ac:dyDescent="0.25">
      <c r="A57" s="37">
        <f>IF(B21="Select Size",,VLOOKUP(B21,J26:M59,4,FALSE))</f>
        <v>0</v>
      </c>
      <c r="B57" s="177">
        <f>IF(B21="Select Size",,VLOOKUP(A57,Values!A2:D79,2,FALSE))</f>
        <v>0</v>
      </c>
      <c r="C57" s="177"/>
      <c r="D57" s="177"/>
      <c r="E57" s="177"/>
      <c r="F57" s="36">
        <f>IF(B21="Select Size",,VLOOKUP(A57,Values!A2:D79,4,FALSE))</f>
        <v>0</v>
      </c>
      <c r="G57" s="138">
        <f>IF(B21="Select Size",0,1)</f>
        <v>0</v>
      </c>
      <c r="H57" s="36">
        <f t="shared" ref="H57:H75" si="1">F57*G57</f>
        <v>0</v>
      </c>
      <c r="I57" s="60"/>
      <c r="J57" t="s">
        <v>227</v>
      </c>
      <c r="K57" s="45">
        <f t="shared" si="0"/>
        <v>0</v>
      </c>
      <c r="M57" s="45" t="s">
        <v>221</v>
      </c>
    </row>
    <row r="58" spans="1:14" hidden="1" x14ac:dyDescent="0.25">
      <c r="A58" s="37">
        <f>IF(B22="Select Size",,VLOOKUP(B22,J26:M59,4,FALSE))</f>
        <v>0</v>
      </c>
      <c r="B58" s="177">
        <f>IF(B22="Select Size",,VLOOKUP(A58,Values!A2:D79,2,FALSE))</f>
        <v>0</v>
      </c>
      <c r="C58" s="177"/>
      <c r="D58" s="177"/>
      <c r="E58" s="177"/>
      <c r="F58" s="36">
        <f>IF(B22="Select Size",,VLOOKUP(A58,Values!A2:D79,4,FALSE))</f>
        <v>0</v>
      </c>
      <c r="G58" s="138">
        <f>IF(B22="Select Size",0,1)</f>
        <v>0</v>
      </c>
      <c r="H58" s="36">
        <f t="shared" ref="H58" si="2">F58*G58</f>
        <v>0</v>
      </c>
      <c r="I58" s="60"/>
      <c r="J58" t="s">
        <v>228</v>
      </c>
      <c r="K58" s="45">
        <f t="shared" si="0"/>
        <v>0</v>
      </c>
      <c r="M58" s="45" t="s">
        <v>222</v>
      </c>
    </row>
    <row r="59" spans="1:14" hidden="1" x14ac:dyDescent="0.25">
      <c r="A59" s="37">
        <f>IF(B24="Select Size",,VLOOKUP(B24,J16:M23,4,FALSE))</f>
        <v>0</v>
      </c>
      <c r="B59" s="177">
        <f>IF(B24="Select Size",,VLOOKUP(A59,Values!A3:C79,2,FALSE))</f>
        <v>0</v>
      </c>
      <c r="C59" s="177"/>
      <c r="D59" s="177"/>
      <c r="E59" s="177"/>
      <c r="F59" s="36">
        <f>IF(B24="Select Size",,VLOOKUP(A59,Values!A3:D79,4,FALSE))</f>
        <v>0</v>
      </c>
      <c r="G59" s="138">
        <f>IF(B24="Select Size",0,1)</f>
        <v>0</v>
      </c>
      <c r="H59" s="36">
        <f t="shared" si="1"/>
        <v>0</v>
      </c>
      <c r="I59" s="58"/>
      <c r="J59" t="s">
        <v>229</v>
      </c>
      <c r="K59" s="45">
        <f t="shared" si="0"/>
        <v>0</v>
      </c>
      <c r="M59" s="45" t="s">
        <v>223</v>
      </c>
    </row>
    <row r="60" spans="1:14" hidden="1" x14ac:dyDescent="0.25">
      <c r="A60" s="37">
        <f>IF(B25="Select Size",,VLOOKUP(B25,J16:M23,4,FALSE))</f>
        <v>0</v>
      </c>
      <c r="B60" s="177">
        <f>IF(B25="Select Size",,VLOOKUP(A60,Values!A3:B79,2,FALSE))</f>
        <v>0</v>
      </c>
      <c r="C60" s="177"/>
      <c r="D60" s="177"/>
      <c r="E60" s="177"/>
      <c r="F60" s="36">
        <f>IF(B25="Select Size",,VLOOKUP(A60,Values!A3:D79,4,FALSE))</f>
        <v>0</v>
      </c>
      <c r="G60" s="138">
        <f>IF(B25="Select Size",0,1)</f>
        <v>0</v>
      </c>
      <c r="H60" s="36">
        <f t="shared" si="1"/>
        <v>0</v>
      </c>
      <c r="I60" s="58"/>
      <c r="M60" s="45"/>
    </row>
    <row r="61" spans="1:14" hidden="1" x14ac:dyDescent="0.25">
      <c r="A61" s="37" t="str">
        <f>Values!A11</f>
        <v>HBLD73</v>
      </c>
      <c r="B61" s="177" t="str">
        <f>Values!B11</f>
        <v>73½" Line Drain Kit</v>
      </c>
      <c r="C61" s="177"/>
      <c r="D61" s="177"/>
      <c r="E61" s="177"/>
      <c r="F61" s="36">
        <f>Values!D11</f>
        <v>0</v>
      </c>
      <c r="G61" s="138">
        <f>SUM(K52:K59)+B23</f>
        <v>0</v>
      </c>
      <c r="H61" s="36">
        <f>F61*G61</f>
        <v>0</v>
      </c>
      <c r="I61" s="58"/>
    </row>
    <row r="62" spans="1:14" hidden="1" x14ac:dyDescent="0.25">
      <c r="A62" s="37" t="str">
        <f>IF(B29="Select Size",,VLOOKUP(B29,J12:M13,4,FALSE))</f>
        <v>HBJSCART</v>
      </c>
      <c r="B62" s="177" t="str">
        <f>IF(B29="Select Size",,VLOOKUP(A62,Values!A2:D79,2,FALSE))</f>
        <v>Joint Sealant Cartridge 10 oz</v>
      </c>
      <c r="C62" s="177"/>
      <c r="D62" s="177"/>
      <c r="E62" s="177"/>
      <c r="F62" s="36">
        <f>IF(B29="Select Size",,VLOOKUP(A62,Values!A2:D79,4,FALSE))</f>
        <v>0</v>
      </c>
      <c r="G62" s="138">
        <f>IF(B29="Select Size",0,B30+F27)</f>
        <v>0</v>
      </c>
      <c r="H62" s="36">
        <f t="shared" si="1"/>
        <v>0</v>
      </c>
      <c r="I62" s="58"/>
      <c r="J62" t="s">
        <v>205</v>
      </c>
      <c r="K62" s="45">
        <v>0</v>
      </c>
    </row>
    <row r="63" spans="1:14" hidden="1" x14ac:dyDescent="0.25">
      <c r="A63" s="37" t="str">
        <f>Values!A43</f>
        <v>HBSCREWWASHER100</v>
      </c>
      <c r="B63" s="177" t="str">
        <f>Values!B43</f>
        <v>Screws &amp; Washers (Box of 100)</v>
      </c>
      <c r="C63" s="177"/>
      <c r="D63" s="177"/>
      <c r="E63" s="177"/>
      <c r="F63" s="36">
        <f>Values!D43</f>
        <v>0</v>
      </c>
      <c r="G63" s="138">
        <f>ROUNDUP((SUM(B15:B17)/100)*1.1,0)+F23</f>
        <v>0</v>
      </c>
      <c r="H63" s="36">
        <f t="shared" si="1"/>
        <v>0</v>
      </c>
      <c r="I63" s="58"/>
      <c r="J63" t="s">
        <v>73</v>
      </c>
      <c r="K63" s="45">
        <v>6</v>
      </c>
      <c r="L63" s="156">
        <f>IF(E15=J63,K63*F15,0)</f>
        <v>0</v>
      </c>
      <c r="M63" s="158">
        <f>IF(B29=J12,F62/10*L63,IF(B29=J13,F62/20*L63,0))</f>
        <v>0</v>
      </c>
      <c r="N63" t="str">
        <f>Values!A33</f>
        <v>HBRSN1616</v>
      </c>
    </row>
    <row r="64" spans="1:14" hidden="1" x14ac:dyDescent="0.25">
      <c r="A64" s="37">
        <f>IF(A33=J80,K80,IF(A33=J81,K81,0))</f>
        <v>0</v>
      </c>
      <c r="B64" s="177">
        <f>IF(A64=Values!A40,Values!B40,IF(A64=Values!A38,Values!B38,0))</f>
        <v>0</v>
      </c>
      <c r="C64" s="177"/>
      <c r="D64" s="177"/>
      <c r="E64" s="177"/>
      <c r="F64" s="36">
        <f>IF(A64=Values!A38,Values!D38,IF(A64=Values!A40,Values!D40,0))</f>
        <v>0</v>
      </c>
      <c r="G64" s="138">
        <f>B33</f>
        <v>0</v>
      </c>
      <c r="H64" s="36">
        <f t="shared" si="1"/>
        <v>0</v>
      </c>
      <c r="I64" s="58"/>
      <c r="J64" t="s">
        <v>74</v>
      </c>
      <c r="K64" s="45">
        <v>10</v>
      </c>
      <c r="L64" s="156">
        <f>IF(E15=J64,K64*F15,0)</f>
        <v>0</v>
      </c>
      <c r="M64" s="158">
        <f>IF(B29=J12,F62/10*L64,IF(B29=J13,F62/20*L64,0))</f>
        <v>0</v>
      </c>
      <c r="N64" t="str">
        <f>Values!A34</f>
        <v>HBRSN1628</v>
      </c>
    </row>
    <row r="65" spans="1:14" hidden="1" x14ac:dyDescent="0.25">
      <c r="A65" s="37">
        <f>IF(A34=J83,K83,IF(A34=J84,K84,0))</f>
        <v>0</v>
      </c>
      <c r="B65" s="177">
        <f>IF(A65=Values!A41,Values!B41,IF(A65=Values!A39,Values!B39,0))</f>
        <v>0</v>
      </c>
      <c r="C65" s="177"/>
      <c r="D65" s="177"/>
      <c r="E65" s="177"/>
      <c r="F65" s="36">
        <f>IF(A65=Values!A39,Values!D39,IF(A65=Values!A41,Values!D41,0))</f>
        <v>0</v>
      </c>
      <c r="G65" s="138">
        <f>B34</f>
        <v>0</v>
      </c>
      <c r="H65" s="36">
        <f t="shared" si="1"/>
        <v>0</v>
      </c>
      <c r="I65" s="58"/>
      <c r="J65" t="s">
        <v>75</v>
      </c>
      <c r="K65" s="45">
        <v>8</v>
      </c>
      <c r="L65" s="156">
        <f>IF(E15=J65,K65*F15,0)</f>
        <v>0</v>
      </c>
      <c r="M65" s="158">
        <f>IF(B29=J12,F62/10*L65,IF(B29=J13,F62/20*L65,0))</f>
        <v>0</v>
      </c>
      <c r="N65" t="str">
        <f>Values!A30</f>
        <v>HBRBHSN1622</v>
      </c>
    </row>
    <row r="66" spans="1:14" hidden="1" x14ac:dyDescent="0.25">
      <c r="A66" s="37">
        <f>IF(E15="Select Niche",,VLOOKUP(E15,J63:N67,5,FALSE))</f>
        <v>0</v>
      </c>
      <c r="B66" s="177">
        <f>IF(E15="Select Niche",,VLOOKUP(A66,Values!A3:D79,2,FALSE))</f>
        <v>0</v>
      </c>
      <c r="C66" s="177"/>
      <c r="D66" s="177"/>
      <c r="E66" s="177"/>
      <c r="F66" s="36">
        <f>IF(E15="Select Niche",,VLOOKUP(A66,Values!A3:D79,4,FALSE))</f>
        <v>0</v>
      </c>
      <c r="G66" s="138">
        <f>IF(E15="Select Niche",0,F15)</f>
        <v>0</v>
      </c>
      <c r="H66" s="36">
        <f t="shared" si="1"/>
        <v>0</v>
      </c>
      <c r="I66" s="58"/>
      <c r="J66" t="s">
        <v>76</v>
      </c>
      <c r="K66" s="45">
        <v>10</v>
      </c>
      <c r="L66" s="156">
        <f>IF(E15=J66,K66*F15,0)</f>
        <v>0</v>
      </c>
      <c r="M66" s="158">
        <f>IF(B29=J12,F62/10*L66,IF(B29=J13,F62/20*L66,0))</f>
        <v>0</v>
      </c>
      <c r="N66" t="str">
        <f>Values!A32</f>
        <v>HBRDWSN3216</v>
      </c>
    </row>
    <row r="67" spans="1:14" hidden="1" x14ac:dyDescent="0.25">
      <c r="A67" s="37">
        <f>IF(E16="Select Bench",,VLOOKUP(E16,J70:N73,5,FALSE))</f>
        <v>0</v>
      </c>
      <c r="B67" s="177">
        <f>IF(E16="Select Bench",,VLOOKUP(A67,Values!A2:D79,2,FALSE))</f>
        <v>0</v>
      </c>
      <c r="C67" s="177"/>
      <c r="D67" s="177"/>
      <c r="E67" s="177"/>
      <c r="F67" s="36">
        <f>IF(E16="Select Bench",,VLOOKUP(A67,Values!A2:D79,4,FALSE))</f>
        <v>0</v>
      </c>
      <c r="G67" s="138">
        <f>IF(E16="Select Bench",0,F16)</f>
        <v>0</v>
      </c>
      <c r="H67" s="36">
        <f t="shared" si="1"/>
        <v>0</v>
      </c>
      <c r="I67" s="58"/>
      <c r="J67" t="s">
        <v>77</v>
      </c>
      <c r="K67" s="45">
        <v>12</v>
      </c>
      <c r="L67" s="156">
        <f>IF(E15=J67,K67*F15,0)</f>
        <v>0</v>
      </c>
      <c r="M67" s="158">
        <f>IF(B29=J12,F62/10*L67,IF(B29=J13,F62/20*L67,0))</f>
        <v>0</v>
      </c>
      <c r="N67" t="str">
        <f>Values!A31</f>
        <v>HBRDASN3226</v>
      </c>
    </row>
    <row r="68" spans="1:14" hidden="1" x14ac:dyDescent="0.25">
      <c r="A68" s="37">
        <f>IF(E17="Select Ramp",,VLOOKUP(E17,J75:N76,5,FALSE))</f>
        <v>0</v>
      </c>
      <c r="B68" s="177">
        <f>IF(E17="Select Ramp",,VLOOKUP(A68,Values!A2:D79,2,FALSE))</f>
        <v>0</v>
      </c>
      <c r="C68" s="177"/>
      <c r="D68" s="177"/>
      <c r="E68" s="177"/>
      <c r="F68" s="36">
        <f>IF(E17="Select Ramp",,VLOOKUP(A68,Values!A2:D79,4,FALSE))</f>
        <v>0</v>
      </c>
      <c r="G68" s="138">
        <f t="shared" ref="G68:G71" si="3">F17</f>
        <v>0</v>
      </c>
      <c r="H68" s="36">
        <f t="shared" si="1"/>
        <v>0</v>
      </c>
      <c r="I68" s="58"/>
    </row>
    <row r="69" spans="1:14" hidden="1" x14ac:dyDescent="0.25">
      <c r="A69" s="37" t="str">
        <f>Values!A5</f>
        <v>HBDSC</v>
      </c>
      <c r="B69" s="177" t="str">
        <f>Values!B5</f>
        <v>Diamond Shampoo Caddy</v>
      </c>
      <c r="C69" s="177"/>
      <c r="D69" s="177"/>
      <c r="E69" s="177"/>
      <c r="F69" s="36">
        <f>Values!D5</f>
        <v>0</v>
      </c>
      <c r="G69" s="138">
        <f t="shared" si="3"/>
        <v>0</v>
      </c>
      <c r="H69" s="36">
        <f t="shared" si="1"/>
        <v>0</v>
      </c>
      <c r="I69" s="58"/>
      <c r="J69" t="s">
        <v>206</v>
      </c>
      <c r="K69" s="45">
        <v>0</v>
      </c>
    </row>
    <row r="70" spans="1:14" hidden="1" x14ac:dyDescent="0.25">
      <c r="A70" s="37" t="str">
        <f>Values!A75</f>
        <v>HBWB366014</v>
      </c>
      <c r="B70" s="177" t="str">
        <f>Values!B75</f>
        <v>36" x 60" x ¼" Board</v>
      </c>
      <c r="C70" s="177"/>
      <c r="D70" s="177"/>
      <c r="E70" s="177"/>
      <c r="F70" s="36">
        <f>Values!D75</f>
        <v>0</v>
      </c>
      <c r="G70" s="138">
        <f t="shared" si="3"/>
        <v>0</v>
      </c>
      <c r="H70" s="36">
        <f t="shared" si="1"/>
        <v>0</v>
      </c>
      <c r="I70" s="58"/>
      <c r="J70" t="s">
        <v>79</v>
      </c>
      <c r="K70" s="45">
        <v>8</v>
      </c>
      <c r="L70" s="156">
        <f>IF(E16=J70,K70*F16,0)</f>
        <v>0</v>
      </c>
      <c r="M70" s="158">
        <f>IF(B29=J12,F62/10*L70,IF(B29=J13,F62/20*L70,0))</f>
        <v>0</v>
      </c>
      <c r="N70" t="str">
        <f>Values!A37</f>
        <v>HBSBM</v>
      </c>
    </row>
    <row r="71" spans="1:14" hidden="1" x14ac:dyDescent="0.25">
      <c r="A71" s="37" t="str">
        <f>Values!A73</f>
        <v>HBWB3648112</v>
      </c>
      <c r="B71" s="177" t="str">
        <f>Values!B73</f>
        <v>36" x 48" x 1½" Board</v>
      </c>
      <c r="C71" s="177"/>
      <c r="D71" s="177"/>
      <c r="E71" s="177"/>
      <c r="F71" s="36">
        <f>Values!D73</f>
        <v>0</v>
      </c>
      <c r="G71" s="138">
        <f t="shared" si="3"/>
        <v>0</v>
      </c>
      <c r="H71" s="36">
        <f t="shared" si="1"/>
        <v>0</v>
      </c>
      <c r="I71" s="58"/>
      <c r="J71" t="s">
        <v>80</v>
      </c>
      <c r="K71" s="45">
        <v>10</v>
      </c>
      <c r="L71" s="156">
        <f>IF(E16=J71,K71*F16,0)</f>
        <v>0</v>
      </c>
      <c r="M71" s="158">
        <f>IF(B29=J12,F62/10*L71,IF(B29=J13,F62/20*L71,0))</f>
        <v>0</v>
      </c>
      <c r="N71" t="str">
        <f>Values!A36</f>
        <v>HBSBL</v>
      </c>
    </row>
    <row r="72" spans="1:14" hidden="1" x14ac:dyDescent="0.25">
      <c r="A72" s="37" t="str">
        <f>Values!A78</f>
        <v>HBWB48602</v>
      </c>
      <c r="B72" s="176" t="str">
        <f>Values!B78</f>
        <v>48" x 60" x 2" Board</v>
      </c>
      <c r="C72" s="177"/>
      <c r="D72" s="177"/>
      <c r="E72" s="178"/>
      <c r="F72" s="36">
        <f>Values!D78</f>
        <v>0</v>
      </c>
      <c r="G72" s="138">
        <f>F21</f>
        <v>0</v>
      </c>
      <c r="H72" s="36">
        <f t="shared" si="1"/>
        <v>0</v>
      </c>
      <c r="J72" t="s">
        <v>78</v>
      </c>
      <c r="K72" s="45">
        <v>12</v>
      </c>
      <c r="L72" s="156">
        <f>IF(E16=J72,K72*F16,0)</f>
        <v>0</v>
      </c>
      <c r="M72" s="158">
        <f>IF(B29=J12,F62/10*L72,IF(B29=J13,F62/20*L72,0))</f>
        <v>0</v>
      </c>
      <c r="N72" t="str">
        <f>Values!A4</f>
        <v>HBDBM</v>
      </c>
    </row>
    <row r="73" spans="1:14" hidden="1" x14ac:dyDescent="0.25">
      <c r="A73" s="37" t="str">
        <f>Values!A77</f>
        <v>HBWB44962</v>
      </c>
      <c r="B73" s="176" t="str">
        <f>Values!B77</f>
        <v>44" x 96" x 2" Board</v>
      </c>
      <c r="C73" s="177"/>
      <c r="D73" s="177"/>
      <c r="E73" s="178"/>
      <c r="F73" s="36">
        <f>Values!D77</f>
        <v>0</v>
      </c>
      <c r="G73" s="138">
        <f>F22</f>
        <v>0</v>
      </c>
      <c r="H73" s="36">
        <f t="shared" si="1"/>
        <v>0</v>
      </c>
      <c r="J73" t="s">
        <v>81</v>
      </c>
      <c r="K73" s="45">
        <v>14</v>
      </c>
      <c r="L73" s="156">
        <f>IF(E16=J73,K73*F16,0)</f>
        <v>0</v>
      </c>
      <c r="M73" s="158">
        <f>IF(B29=J12,F62/10*L73,IF(B29=J13,F62/20*L73,0))</f>
        <v>0</v>
      </c>
      <c r="N73" t="str">
        <f>Values!A3</f>
        <v>HBDBL</v>
      </c>
    </row>
    <row r="74" spans="1:14" hidden="1" x14ac:dyDescent="0.25">
      <c r="A74" s="37" t="str">
        <f>Values!A42</f>
        <v>HBSCREW1000</v>
      </c>
      <c r="B74" s="177" t="str">
        <f>Values!B42</f>
        <v>Screws (1,000 per bucket)</v>
      </c>
      <c r="C74" s="177"/>
      <c r="D74" s="177"/>
      <c r="E74" s="177"/>
      <c r="F74" s="36">
        <f>Values!D42</f>
        <v>0</v>
      </c>
      <c r="G74" s="138">
        <f>F24</f>
        <v>0</v>
      </c>
      <c r="H74" s="36">
        <f t="shared" si="1"/>
        <v>0</v>
      </c>
    </row>
    <row r="75" spans="1:14" hidden="1" x14ac:dyDescent="0.25">
      <c r="A75" s="37" t="str">
        <f>Values!A72</f>
        <v>HBWASH1000</v>
      </c>
      <c r="B75" s="177" t="str">
        <f>Values!B72</f>
        <v>Washers w/tabs (1,000 per bucket)</v>
      </c>
      <c r="C75" s="177"/>
      <c r="D75" s="177"/>
      <c r="E75" s="177"/>
      <c r="F75" s="36">
        <f>Values!D72</f>
        <v>0</v>
      </c>
      <c r="G75" s="138">
        <f>F25</f>
        <v>0</v>
      </c>
      <c r="H75" s="36">
        <f t="shared" si="1"/>
        <v>0</v>
      </c>
      <c r="J75" t="s">
        <v>352</v>
      </c>
      <c r="K75" s="45">
        <v>6</v>
      </c>
      <c r="L75" s="156">
        <f>K75*F17</f>
        <v>0</v>
      </c>
      <c r="M75" s="158">
        <f>IF(B29=J12,F62/10*L75,IF(B29=J13,F62/20*L75,0))</f>
        <v>0</v>
      </c>
      <c r="N75" t="s">
        <v>102</v>
      </c>
    </row>
    <row r="76" spans="1:14" hidden="1" x14ac:dyDescent="0.25">
      <c r="A76" s="37" t="str">
        <f>Values!A35</f>
        <v>HBSAUSGUN</v>
      </c>
      <c r="B76" s="177" t="str">
        <f>Values!B35</f>
        <v>Sausage Gun</v>
      </c>
      <c r="C76" s="177"/>
      <c r="D76" s="177"/>
      <c r="E76" s="177"/>
      <c r="F76" s="36">
        <f>Values!D35</f>
        <v>0</v>
      </c>
      <c r="G76" s="138">
        <f>F26</f>
        <v>0</v>
      </c>
      <c r="H76" s="36">
        <f t="shared" ref="H76:H81" si="4">F76*G76</f>
        <v>0</v>
      </c>
      <c r="J76" t="s">
        <v>331</v>
      </c>
      <c r="K76" s="45">
        <v>6</v>
      </c>
      <c r="L76" s="156">
        <f>K76*F18</f>
        <v>0</v>
      </c>
      <c r="M76" s="158">
        <f>IF(B29=J12,F62/10*L76,IF(B29=J13,F62/20*L76,0))</f>
        <v>0</v>
      </c>
      <c r="N76" t="s">
        <v>330</v>
      </c>
    </row>
    <row r="77" spans="1:14" hidden="1" x14ac:dyDescent="0.25">
      <c r="A77" s="37" t="str">
        <f>Values!A6</f>
        <v>HBFLJCK</v>
      </c>
      <c r="B77" s="177" t="str">
        <f>Values!B6</f>
        <v>24 sq ft Floor Lowering Joist Clip Kit</v>
      </c>
      <c r="C77" s="177"/>
      <c r="D77" s="177"/>
      <c r="E77" s="177"/>
      <c r="F77" s="36">
        <f>Values!D6</f>
        <v>0</v>
      </c>
      <c r="G77" s="138">
        <f>F28</f>
        <v>0</v>
      </c>
      <c r="H77" s="36">
        <f t="shared" si="4"/>
        <v>0</v>
      </c>
      <c r="J77" t="s">
        <v>104</v>
      </c>
      <c r="K77" s="45">
        <v>4</v>
      </c>
      <c r="L77" s="156">
        <f>K77*F18</f>
        <v>0</v>
      </c>
      <c r="M77" s="158">
        <f>IF(B29=J12,F62/10*L77,IF(B29=J13,F62/20*L77,0))</f>
        <v>0</v>
      </c>
    </row>
    <row r="78" spans="1:14" hidden="1" x14ac:dyDescent="0.25">
      <c r="A78" s="37" t="str">
        <f>Values!A12</f>
        <v>HBLDCOUP</v>
      </c>
      <c r="B78" s="176" t="str">
        <f>Values!B12</f>
        <v>Line Drain Coupler</v>
      </c>
      <c r="C78" s="177"/>
      <c r="D78" s="177"/>
      <c r="E78" s="178"/>
      <c r="F78" s="36">
        <f>Values!D12</f>
        <v>0</v>
      </c>
      <c r="G78" s="138">
        <f>IF(G61=2,1,0)</f>
        <v>0</v>
      </c>
      <c r="H78" s="36">
        <f t="shared" si="4"/>
        <v>0</v>
      </c>
      <c r="K78"/>
    </row>
    <row r="79" spans="1:14" hidden="1" x14ac:dyDescent="0.25">
      <c r="A79" s="37" t="str">
        <f>Values!A13</f>
        <v>HBLDSLOTEXT</v>
      </c>
      <c r="B79" s="176" t="str">
        <f>Values!B13</f>
        <v>Line Drain Slot Extender Stick</v>
      </c>
      <c r="C79" s="177"/>
      <c r="D79" s="177"/>
      <c r="E79" s="178"/>
      <c r="F79" s="36">
        <f>Values!D13</f>
        <v>0</v>
      </c>
      <c r="G79" s="138">
        <f>F29</f>
        <v>0</v>
      </c>
      <c r="H79" s="36">
        <f t="shared" si="4"/>
        <v>0</v>
      </c>
      <c r="J79" t="s">
        <v>204</v>
      </c>
      <c r="K79"/>
    </row>
    <row r="80" spans="1:14" hidden="1" x14ac:dyDescent="0.25">
      <c r="A80" s="37" t="str">
        <f>Values!A7</f>
        <v>HBINSHADOW</v>
      </c>
      <c r="B80" s="133" t="str">
        <f>M92</f>
        <v>IN-Shadow Trim (2 pcs)</v>
      </c>
      <c r="C80" s="45"/>
      <c r="D80" s="45"/>
      <c r="E80" s="164"/>
      <c r="F80" s="36">
        <f>L92</f>
        <v>0</v>
      </c>
      <c r="G80" s="138">
        <f>F30</f>
        <v>0</v>
      </c>
      <c r="H80" s="36">
        <f t="shared" si="4"/>
        <v>0</v>
      </c>
      <c r="J80" t="s">
        <v>365</v>
      </c>
      <c r="K80" s="45" t="str">
        <f>Values!A38</f>
        <v>HBSC60</v>
      </c>
      <c r="L80" s="156">
        <f>IF(A33=J80,5*B33,0)</f>
        <v>0</v>
      </c>
      <c r="M80" s="158">
        <f>IF(B29=J12,F62/10*L80,IF(B29=J13,F62/20*L80,0))</f>
        <v>0</v>
      </c>
    </row>
    <row r="81" spans="1:13" hidden="1" x14ac:dyDescent="0.25">
      <c r="A81" s="38" t="str">
        <f>VLOOKUP(E31,J88:K91,2,FALSE)</f>
        <v>HBINSI38</v>
      </c>
      <c r="B81" s="179" t="str">
        <f>IF(E31="Select Line Drain Trim Kit",,VLOOKUP(A81,K89:M91,3,FALSE))</f>
        <v>3/8" IN-Sight Trim (2 pcs)</v>
      </c>
      <c r="C81" s="180"/>
      <c r="D81" s="180"/>
      <c r="E81" s="181"/>
      <c r="F81" s="39">
        <f>IF(E31="Select Line Drain Trim Kit",,VLOOKUP(A81,K89:M91,2,FALSE))</f>
        <v>0</v>
      </c>
      <c r="G81" s="82">
        <f>F31</f>
        <v>0</v>
      </c>
      <c r="H81" s="36">
        <f t="shared" si="4"/>
        <v>0</v>
      </c>
      <c r="J81" t="s">
        <v>280</v>
      </c>
      <c r="K81" s="45" t="s">
        <v>270</v>
      </c>
      <c r="L81" s="156">
        <f>IF(A33=J81,5*B33,0)</f>
        <v>0</v>
      </c>
      <c r="M81" s="158">
        <f>IF(B29=J12,F62/10*L81,IF(B29=J13,F62/20*L81,0))</f>
        <v>0</v>
      </c>
    </row>
    <row r="82" spans="1:13" ht="15.75" hidden="1" thickBot="1" x14ac:dyDescent="0.3">
      <c r="H82" s="67">
        <f>SUM(H54:H81)</f>
        <v>0</v>
      </c>
      <c r="J82" t="s">
        <v>360</v>
      </c>
    </row>
    <row r="83" spans="1:13" x14ac:dyDescent="0.25">
      <c r="J83" t="s">
        <v>364</v>
      </c>
      <c r="K83" s="45" t="str">
        <f>Values!A39</f>
        <v>HBSC84</v>
      </c>
      <c r="L83" s="156">
        <f>IF(A34=J83,7*B34,0)</f>
        <v>0</v>
      </c>
      <c r="M83" s="158">
        <f>IF(B29=J12,F62/10*L83,IF(B29=J13,F62/20*L83,0))</f>
        <v>0</v>
      </c>
    </row>
    <row r="84" spans="1:13" x14ac:dyDescent="0.25">
      <c r="J84" t="s">
        <v>281</v>
      </c>
      <c r="K84" s="45" t="s">
        <v>271</v>
      </c>
      <c r="L84" s="156">
        <f>IF(A34=J84,7*B34,0)</f>
        <v>0</v>
      </c>
      <c r="M84" s="158">
        <f>IF(B29=J12,F62/10*L84,IF(B29=J13,F62/20*L84,0))</f>
        <v>0</v>
      </c>
    </row>
    <row r="85" spans="1:13" ht="21" x14ac:dyDescent="0.35">
      <c r="A85" s="185" t="s">
        <v>122</v>
      </c>
      <c r="B85" s="185"/>
      <c r="C85" s="185"/>
      <c r="D85" s="185"/>
      <c r="E85" s="185"/>
      <c r="F85" s="185"/>
      <c r="G85" s="185"/>
      <c r="H85" s="185"/>
    </row>
    <row r="86" spans="1:13" ht="21" x14ac:dyDescent="0.35">
      <c r="A86" s="185" t="str">
        <f>Values!D81</f>
        <v>Pricing matches price list effective 01/01/23</v>
      </c>
      <c r="B86" s="185"/>
      <c r="C86" s="185"/>
      <c r="D86" s="185"/>
      <c r="E86" s="185"/>
      <c r="F86" s="185"/>
      <c r="G86" s="185"/>
      <c r="H86" s="185"/>
      <c r="K86" s="45" t="s">
        <v>183</v>
      </c>
      <c r="L86" s="156">
        <f>G61*20</f>
        <v>0</v>
      </c>
      <c r="M86" s="158">
        <f>IF(B29=J12,F62/10*L86,IF(B29=J13,F62/20*L86,0))</f>
        <v>0</v>
      </c>
    </row>
    <row r="87" spans="1:13" x14ac:dyDescent="0.25">
      <c r="A87" s="182" t="s">
        <v>160</v>
      </c>
      <c r="B87" s="182"/>
      <c r="C87" s="182"/>
      <c r="D87" s="182"/>
      <c r="E87" s="182"/>
      <c r="F87" s="182"/>
      <c r="G87" s="182"/>
      <c r="H87" s="182"/>
    </row>
    <row r="88" spans="1:13" x14ac:dyDescent="0.25">
      <c r="J88" t="s">
        <v>278</v>
      </c>
      <c r="K88" s="45" t="s">
        <v>250</v>
      </c>
      <c r="L88" s="146">
        <f>L89</f>
        <v>0</v>
      </c>
      <c r="M88" s="45" t="s">
        <v>253</v>
      </c>
    </row>
    <row r="89" spans="1:13" x14ac:dyDescent="0.25">
      <c r="J89" s="45" t="s">
        <v>256</v>
      </c>
      <c r="K89" t="s">
        <v>250</v>
      </c>
      <c r="L89" s="146">
        <f>Values!D8</f>
        <v>0</v>
      </c>
      <c r="M89" s="45" t="s">
        <v>253</v>
      </c>
    </row>
    <row r="90" spans="1:13" x14ac:dyDescent="0.25">
      <c r="J90" s="45" t="s">
        <v>257</v>
      </c>
      <c r="K90" t="s">
        <v>251</v>
      </c>
      <c r="L90" s="146">
        <f>Values!D8</f>
        <v>0</v>
      </c>
      <c r="M90" s="45" t="s">
        <v>254</v>
      </c>
    </row>
    <row r="91" spans="1:13" x14ac:dyDescent="0.25">
      <c r="J91" s="45" t="s">
        <v>258</v>
      </c>
      <c r="K91" t="s">
        <v>252</v>
      </c>
      <c r="L91" s="146">
        <f>Values!D8</f>
        <v>0</v>
      </c>
      <c r="M91" s="45" t="s">
        <v>255</v>
      </c>
    </row>
    <row r="92" spans="1:13" x14ac:dyDescent="0.25">
      <c r="J92" s="45" t="s">
        <v>262</v>
      </c>
      <c r="K92" t="s">
        <v>261</v>
      </c>
      <c r="L92" s="146">
        <f>Values!D7</f>
        <v>0</v>
      </c>
      <c r="M92" s="45" t="s">
        <v>248</v>
      </c>
    </row>
  </sheetData>
  <sheetProtection algorithmName="SHA-512" hashValue="bdA2aQUIWYoNANm7ZncO262qmnBfKW3F9rKdT+wcyKubC9mHe9kv/Cs+I0gHnsiGCUbOldQ3fbCC7Jyh16xgkQ==" saltValue="NApYL0gtOHtH3095X40nbw==" spinCount="100000" sheet="1" objects="1" scenarios="1" formatCells="0" formatColumns="0" formatRows="0" insertColumns="0" insertRows="0"/>
  <mergeCells count="45">
    <mergeCell ref="A86:H86"/>
    <mergeCell ref="B77:E77"/>
    <mergeCell ref="B74:E74"/>
    <mergeCell ref="B5:C5"/>
    <mergeCell ref="B6:C6"/>
    <mergeCell ref="B7:C7"/>
    <mergeCell ref="B8:C8"/>
    <mergeCell ref="B9:C9"/>
    <mergeCell ref="B10:C10"/>
    <mergeCell ref="B61:E61"/>
    <mergeCell ref="B11:C11"/>
    <mergeCell ref="B70:E70"/>
    <mergeCell ref="B58:E58"/>
    <mergeCell ref="B72:E72"/>
    <mergeCell ref="B73:E73"/>
    <mergeCell ref="B78:E78"/>
    <mergeCell ref="B76:E76"/>
    <mergeCell ref="B75:E75"/>
    <mergeCell ref="E2:F2"/>
    <mergeCell ref="B71:E71"/>
    <mergeCell ref="B57:E57"/>
    <mergeCell ref="A49:H49"/>
    <mergeCell ref="A50:H50"/>
    <mergeCell ref="B53:E53"/>
    <mergeCell ref="B54:E54"/>
    <mergeCell ref="E5:F5"/>
    <mergeCell ref="E6:F6"/>
    <mergeCell ref="E7:F7"/>
    <mergeCell ref="A38:H43"/>
    <mergeCell ref="B79:E79"/>
    <mergeCell ref="B81:E81"/>
    <mergeCell ref="A87:H87"/>
    <mergeCell ref="E1:F1"/>
    <mergeCell ref="G1:H1"/>
    <mergeCell ref="A85:H85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</mergeCells>
  <dataValidations count="14">
    <dataValidation type="list" showInputMessage="1" showErrorMessage="1" sqref="E16" xr:uid="{00000000-0002-0000-0000-000000000000}">
      <formula1>$J$69:$J$73</formula1>
    </dataValidation>
    <dataValidation type="list" showInputMessage="1" showErrorMessage="1" sqref="B29" xr:uid="{00000000-0002-0000-0000-000001000000}">
      <formula1>$J$11:$J$13</formula1>
    </dataValidation>
    <dataValidation type="list" showInputMessage="1" showErrorMessage="1" sqref="E15" xr:uid="{00000000-0002-0000-0000-000003000000}">
      <formula1>$J$62:$J$67</formula1>
    </dataValidation>
    <dataValidation type="whole" allowBlank="1" showInputMessage="1" prompt="FOR USE WITH SINGLE SLOPE SHOWER PANS - 1 ALREADY INCLUDED IF SINGLE SLOPE PAN SELECTED ABOVE" sqref="B23" xr:uid="{00000000-0002-0000-0000-000004000000}">
      <formula1>1</formula1>
      <formula2>5</formula2>
    </dataValidation>
    <dataValidation type="list" showInputMessage="1" showErrorMessage="1" sqref="A33" xr:uid="{00000000-0002-0000-0000-000005000000}">
      <formula1>$J$79:$J$81</formula1>
    </dataValidation>
    <dataValidation type="list" showInputMessage="1" showErrorMessage="1" sqref="A34" xr:uid="{00000000-0002-0000-0000-000006000000}">
      <formula1>$J$82:$J$84</formula1>
    </dataValidation>
    <dataValidation type="whole" allowBlank="1" showInputMessage="1" showErrorMessage="1" error="WHOLE NUMBERS ONLY" sqref="F15:F28" xr:uid="{00000000-0002-0000-0000-000007000000}">
      <formula1>1</formula1>
      <formula2>100</formula2>
    </dataValidation>
    <dataValidation type="whole" allowBlank="1" showInputMessage="1" showErrorMessage="1" error="WHOLE NUMBERS ONLY" sqref="B33:B34" xr:uid="{00000000-0002-0000-0000-000008000000}">
      <formula1>1</formula1>
      <formula2>5</formula2>
    </dataValidation>
    <dataValidation type="list" showInputMessage="1" showErrorMessage="1" sqref="E31" xr:uid="{00000000-0002-0000-0000-00000B000000}">
      <formula1>$J$88:$J$91</formula1>
    </dataValidation>
    <dataValidation type="list" showInputMessage="1" showErrorMessage="1" sqref="B22" xr:uid="{00000000-0002-0000-0000-000002000000}">
      <formula1>$J$25:$J$59</formula1>
    </dataValidation>
    <dataValidation type="list" showInputMessage="1" showErrorMessage="1" sqref="B25" xr:uid="{00000000-0002-0000-0000-000009000000}">
      <formula1>$J$15:$J$23</formula1>
    </dataValidation>
    <dataValidation type="list" showInputMessage="1" showErrorMessage="1" sqref="E17" xr:uid="{2F907691-E61C-4C0F-98D9-EB9E713B52A7}">
      <formula1>"Select Ramp,12"" x 72"" Ramp,10"" x 72"" Low Profile Ramp"</formula1>
    </dataValidation>
    <dataValidation type="list" showInputMessage="1" showErrorMessage="1" sqref="B21" xr:uid="{68FDE42B-1BF4-44C3-84EB-283BF3702F66}">
      <formula1>$J$25:$J$59</formula1>
    </dataValidation>
    <dataValidation type="list" showInputMessage="1" showErrorMessage="1" sqref="B24" xr:uid="{FC120441-D818-4784-A74E-D3BCEED23BE9}">
      <formula1>$J$15:$J$23</formula1>
    </dataValidation>
  </dataValidations>
  <printOptions horizontalCentered="1"/>
  <pageMargins left="0.25" right="0.25" top="0.75" bottom="0.75" header="0.3" footer="0.3"/>
  <pageSetup scale="68" orientation="portrait" r:id="rId1"/>
  <headerFooter>
    <oddFooter>&amp;LRevised 12.15.22&amp;R&amp;F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G58"/>
  <sheetViews>
    <sheetView zoomScaleNormal="100" workbookViewId="0">
      <selection activeCell="D5" sqref="D5:G5"/>
    </sheetView>
  </sheetViews>
  <sheetFormatPr defaultRowHeight="15" x14ac:dyDescent="0.25"/>
  <cols>
    <col min="1" max="1" width="25" customWidth="1"/>
    <col min="2" max="2" width="33.7109375" customWidth="1"/>
    <col min="3" max="3" width="12" customWidth="1"/>
    <col min="4" max="4" width="15.28515625" customWidth="1"/>
    <col min="5" max="5" width="7.5703125" customWidth="1"/>
    <col min="6" max="6" width="10.140625" customWidth="1"/>
    <col min="7" max="7" width="9.7109375" customWidth="1"/>
  </cols>
  <sheetData>
    <row r="1" spans="1:7" ht="21" x14ac:dyDescent="0.35">
      <c r="D1" s="183" t="s">
        <v>25</v>
      </c>
      <c r="E1" s="183"/>
      <c r="F1" s="206">
        <f ca="1">TODAY()</f>
        <v>45008</v>
      </c>
      <c r="G1" s="183"/>
    </row>
    <row r="2" spans="1:7" x14ac:dyDescent="0.25">
      <c r="D2" s="186" t="s">
        <v>26</v>
      </c>
      <c r="E2" s="186"/>
    </row>
    <row r="5" spans="1:7" ht="15" customHeight="1" x14ac:dyDescent="0.25">
      <c r="A5" s="102" t="s">
        <v>143</v>
      </c>
      <c r="B5" t="str">
        <f>IF(Calculator!B5=0," ",Calculator!B5)</f>
        <v xml:space="preserve"> </v>
      </c>
      <c r="C5" s="150" t="s">
        <v>215</v>
      </c>
      <c r="D5" s="199" t="str">
        <f>IF(Calculator!E5=0," ",Calculator!E5)</f>
        <v xml:space="preserve"> </v>
      </c>
      <c r="E5" s="199"/>
      <c r="F5" s="199"/>
      <c r="G5" s="199"/>
    </row>
    <row r="6" spans="1:7" x14ac:dyDescent="0.25">
      <c r="A6" s="102" t="s">
        <v>156</v>
      </c>
      <c r="B6" t="str">
        <f>IF(Calculator!B6=0," ",Calculator!B6)</f>
        <v xml:space="preserve"> </v>
      </c>
      <c r="D6" s="199" t="str">
        <f>IF(Calculator!E6=0," ",Calculator!E6)</f>
        <v xml:space="preserve"> </v>
      </c>
      <c r="E6" s="199"/>
      <c r="F6" s="199"/>
      <c r="G6" s="199"/>
    </row>
    <row r="7" spans="1:7" x14ac:dyDescent="0.25">
      <c r="A7" s="102" t="s">
        <v>144</v>
      </c>
      <c r="B7" t="str">
        <f>IF(Calculator!B7=0," ",Calculator!B7)</f>
        <v xml:space="preserve"> </v>
      </c>
      <c r="C7" s="150" t="s">
        <v>216</v>
      </c>
      <c r="D7" s="177" t="str">
        <f>IF(Calculator!E7=0," ",Calculator!E7)</f>
        <v xml:space="preserve"> </v>
      </c>
      <c r="E7" s="177"/>
      <c r="F7" s="177"/>
      <c r="G7" s="177"/>
    </row>
    <row r="8" spans="1:7" x14ac:dyDescent="0.25">
      <c r="A8" s="102"/>
      <c r="B8" t="str">
        <f>IF(Calculator!B8=0," ",Calculator!B8)</f>
        <v xml:space="preserve"> </v>
      </c>
    </row>
    <row r="9" spans="1:7" ht="15" customHeight="1" x14ac:dyDescent="0.25">
      <c r="A9" s="102" t="s">
        <v>129</v>
      </c>
      <c r="B9" s="103" t="str">
        <f>IF(Calculator!B9=0," ",Calculator!B9)</f>
        <v xml:space="preserve"> </v>
      </c>
    </row>
    <row r="10" spans="1:7" ht="15" customHeight="1" x14ac:dyDescent="0.35">
      <c r="A10" s="102" t="s">
        <v>130</v>
      </c>
      <c r="B10" s="103" t="str">
        <f>IF(Calculator!B10=0," ",Calculator!B10)</f>
        <v xml:space="preserve"> </v>
      </c>
      <c r="C10" s="99"/>
      <c r="D10" s="99"/>
      <c r="E10" s="99"/>
      <c r="F10" s="99"/>
      <c r="G10" s="99"/>
    </row>
    <row r="11" spans="1:7" x14ac:dyDescent="0.25">
      <c r="A11" s="102" t="s">
        <v>128</v>
      </c>
      <c r="B11" s="104" t="str">
        <f>IF(Calculator!B11=0," ",Calculator!B11)</f>
        <v xml:space="preserve"> </v>
      </c>
      <c r="C11" s="100"/>
      <c r="D11" s="100"/>
      <c r="E11" s="100"/>
      <c r="F11" s="100"/>
      <c r="G11" s="100"/>
    </row>
    <row r="12" spans="1:7" x14ac:dyDescent="0.25">
      <c r="B12" s="45"/>
    </row>
    <row r="13" spans="1:7" x14ac:dyDescent="0.25">
      <c r="B13" s="45"/>
    </row>
    <row r="14" spans="1:7" x14ac:dyDescent="0.25">
      <c r="A14" s="64" t="s">
        <v>62</v>
      </c>
      <c r="B14" s="189" t="s">
        <v>63</v>
      </c>
      <c r="C14" s="190"/>
      <c r="D14" s="191"/>
      <c r="E14" s="66" t="s">
        <v>29</v>
      </c>
      <c r="F14" s="65" t="s">
        <v>157</v>
      </c>
      <c r="G14" s="65" t="s">
        <v>158</v>
      </c>
    </row>
    <row r="15" spans="1:7" x14ac:dyDescent="0.25">
      <c r="A15" s="35" t="str">
        <f>Calculator!$A$54</f>
        <v>HBWB366012</v>
      </c>
      <c r="B15" s="207" t="str">
        <f>Calculator!$B$54</f>
        <v>36" x 60" x ½" Board</v>
      </c>
      <c r="C15" s="192"/>
      <c r="D15" s="208"/>
      <c r="E15" s="137">
        <f>Calculator!$G$54</f>
        <v>0</v>
      </c>
      <c r="F15" s="135">
        <f>Calculator!F$54+Calculator!F$54*Calculator!$F$34</f>
        <v>0</v>
      </c>
      <c r="G15" s="136">
        <f t="shared" ref="G15:G38" si="0">F15*E15</f>
        <v>0</v>
      </c>
    </row>
    <row r="16" spans="1:7" x14ac:dyDescent="0.25">
      <c r="A16" s="37" t="str">
        <f>Calculator!$A$55</f>
        <v>HBWB366058</v>
      </c>
      <c r="B16" s="176" t="str">
        <f>Calculator!$B$55</f>
        <v>36" x 60" x ⅝" Board</v>
      </c>
      <c r="C16" s="177"/>
      <c r="D16" s="178"/>
      <c r="E16" s="138">
        <f>Calculator!G$55</f>
        <v>0</v>
      </c>
      <c r="F16" s="36">
        <f>Calculator!F$55+Calculator!F$55*Calculator!$F$34</f>
        <v>0</v>
      </c>
      <c r="G16" s="136">
        <f>F16*E16</f>
        <v>0</v>
      </c>
    </row>
    <row r="17" spans="1:7" x14ac:dyDescent="0.25">
      <c r="A17" s="37" t="str">
        <f>Calculator!$A$56</f>
        <v>HBWB486412</v>
      </c>
      <c r="B17" s="176" t="str">
        <f>Calculator!$B$56</f>
        <v>48" x 64" x ½" Board</v>
      </c>
      <c r="C17" s="177"/>
      <c r="D17" s="178"/>
      <c r="E17" s="138">
        <f>Calculator!G$56</f>
        <v>0</v>
      </c>
      <c r="F17" s="36">
        <f>Calculator!F$56+Calculator!F$56*Calculator!$F$34</f>
        <v>0</v>
      </c>
      <c r="G17" s="136">
        <f>F17*E17</f>
        <v>0</v>
      </c>
    </row>
    <row r="18" spans="1:7" x14ac:dyDescent="0.25">
      <c r="A18" s="37">
        <f>Calculator!$A$57</f>
        <v>0</v>
      </c>
      <c r="B18" s="176">
        <f>Calculator!$B$57</f>
        <v>0</v>
      </c>
      <c r="C18" s="177"/>
      <c r="D18" s="178"/>
      <c r="E18" s="138">
        <f>Calculator!$G$57</f>
        <v>0</v>
      </c>
      <c r="F18" s="36">
        <f>Calculator!$F$57+Calculator!$F$57*Calculator!$F$34</f>
        <v>0</v>
      </c>
      <c r="G18" s="136">
        <f t="shared" si="0"/>
        <v>0</v>
      </c>
    </row>
    <row r="19" spans="1:7" x14ac:dyDescent="0.25">
      <c r="A19" s="37">
        <f>Calculator!$A$58</f>
        <v>0</v>
      </c>
      <c r="B19" s="176">
        <f>Calculator!B58</f>
        <v>0</v>
      </c>
      <c r="C19" s="177"/>
      <c r="D19" s="178"/>
      <c r="E19" s="138">
        <f>Calculator!$G$58</f>
        <v>0</v>
      </c>
      <c r="F19" s="36">
        <f>Calculator!$F$58+Calculator!$F$58*Calculator!$F$34</f>
        <v>0</v>
      </c>
      <c r="G19" s="136">
        <f t="shared" si="0"/>
        <v>0</v>
      </c>
    </row>
    <row r="20" spans="1:7" x14ac:dyDescent="0.25">
      <c r="A20" s="37">
        <f>Calculator!$A$59</f>
        <v>0</v>
      </c>
      <c r="B20" s="176">
        <f>Calculator!$B$59</f>
        <v>0</v>
      </c>
      <c r="C20" s="177"/>
      <c r="D20" s="178"/>
      <c r="E20" s="138">
        <f>Calculator!$G$59</f>
        <v>0</v>
      </c>
      <c r="F20" s="36">
        <f>Calculator!$F$59+Calculator!$F$59*Calculator!$F$34</f>
        <v>0</v>
      </c>
      <c r="G20" s="136">
        <f t="shared" si="0"/>
        <v>0</v>
      </c>
    </row>
    <row r="21" spans="1:7" x14ac:dyDescent="0.25">
      <c r="A21" s="37">
        <f>Calculator!$A$60</f>
        <v>0</v>
      </c>
      <c r="B21" s="176">
        <f>Calculator!$B$60</f>
        <v>0</v>
      </c>
      <c r="C21" s="177"/>
      <c r="D21" s="178"/>
      <c r="E21" s="138">
        <f>Calculator!$G$60</f>
        <v>0</v>
      </c>
      <c r="F21" s="36">
        <f>Calculator!$F$60+Calculator!$F$60*Calculator!$F$34</f>
        <v>0</v>
      </c>
      <c r="G21" s="136">
        <f t="shared" si="0"/>
        <v>0</v>
      </c>
    </row>
    <row r="22" spans="1:7" x14ac:dyDescent="0.25">
      <c r="A22" s="37" t="str">
        <f>Calculator!A61</f>
        <v>HBLD73</v>
      </c>
      <c r="B22" s="176" t="str">
        <f>Calculator!B61</f>
        <v>73½" Line Drain Kit</v>
      </c>
      <c r="C22" s="177"/>
      <c r="D22" s="178"/>
      <c r="E22" s="138">
        <f>Calculator!G61</f>
        <v>0</v>
      </c>
      <c r="F22" s="36">
        <f>Calculator!$F$61+Calculator!$F$61*Calculator!$F$34</f>
        <v>0</v>
      </c>
      <c r="G22" s="136">
        <f t="shared" si="0"/>
        <v>0</v>
      </c>
    </row>
    <row r="23" spans="1:7" x14ac:dyDescent="0.25">
      <c r="A23" s="37" t="str">
        <f>Calculator!$A$62</f>
        <v>HBJSCART</v>
      </c>
      <c r="B23" s="176" t="str">
        <f>Calculator!$B$62</f>
        <v>Joint Sealant Cartridge 10 oz</v>
      </c>
      <c r="C23" s="177"/>
      <c r="D23" s="178"/>
      <c r="E23" s="138">
        <f>Calculator!$G$62</f>
        <v>0</v>
      </c>
      <c r="F23" s="36">
        <f>Calculator!$F$62+Calculator!$F$62*Calculator!$F$34</f>
        <v>0</v>
      </c>
      <c r="G23" s="136">
        <f t="shared" si="0"/>
        <v>0</v>
      </c>
    </row>
    <row r="24" spans="1:7" x14ac:dyDescent="0.25">
      <c r="A24" s="37" t="str">
        <f>Calculator!$A$63</f>
        <v>HBSCREWWASHER100</v>
      </c>
      <c r="B24" s="176" t="str">
        <f>Calculator!$B$63</f>
        <v>Screws &amp; Washers (Box of 100)</v>
      </c>
      <c r="C24" s="177"/>
      <c r="D24" s="178"/>
      <c r="E24" s="138">
        <f>Calculator!$G$63</f>
        <v>0</v>
      </c>
      <c r="F24" s="36">
        <f>Calculator!$F$63+Calculator!$F$63*Calculator!$F$34</f>
        <v>0</v>
      </c>
      <c r="G24" s="136">
        <f t="shared" si="0"/>
        <v>0</v>
      </c>
    </row>
    <row r="25" spans="1:7" x14ac:dyDescent="0.25">
      <c r="A25" s="37">
        <f>Calculator!$A$64</f>
        <v>0</v>
      </c>
      <c r="B25" s="176">
        <f>Calculator!$B$64</f>
        <v>0</v>
      </c>
      <c r="C25" s="177"/>
      <c r="D25" s="178"/>
      <c r="E25" s="138">
        <f>Calculator!$G$64</f>
        <v>0</v>
      </c>
      <c r="F25" s="36">
        <f>Calculator!$F$64+Calculator!$F$64*Calculator!$F$34</f>
        <v>0</v>
      </c>
      <c r="G25" s="136">
        <f t="shared" si="0"/>
        <v>0</v>
      </c>
    </row>
    <row r="26" spans="1:7" x14ac:dyDescent="0.25">
      <c r="A26" s="37">
        <f>Calculator!$A$65</f>
        <v>0</v>
      </c>
      <c r="B26" s="176">
        <f>Calculator!$B$65</f>
        <v>0</v>
      </c>
      <c r="C26" s="177"/>
      <c r="D26" s="178"/>
      <c r="E26" s="138">
        <f>Calculator!$G$65</f>
        <v>0</v>
      </c>
      <c r="F26" s="36">
        <f>Calculator!$F$65+Calculator!$F$65*Calculator!$F$34</f>
        <v>0</v>
      </c>
      <c r="G26" s="136">
        <f t="shared" si="0"/>
        <v>0</v>
      </c>
    </row>
    <row r="27" spans="1:7" x14ac:dyDescent="0.25">
      <c r="A27" s="37">
        <f>Calculator!$A$66</f>
        <v>0</v>
      </c>
      <c r="B27" s="176">
        <f>Calculator!$B$66</f>
        <v>0</v>
      </c>
      <c r="C27" s="177"/>
      <c r="D27" s="178"/>
      <c r="E27" s="138">
        <f>Calculator!$G$66</f>
        <v>0</v>
      </c>
      <c r="F27" s="36">
        <f>Calculator!$F$66+Calculator!$F$66*Calculator!$F$34</f>
        <v>0</v>
      </c>
      <c r="G27" s="136">
        <f t="shared" si="0"/>
        <v>0</v>
      </c>
    </row>
    <row r="28" spans="1:7" x14ac:dyDescent="0.25">
      <c r="A28" s="37">
        <f>Calculator!$A$67</f>
        <v>0</v>
      </c>
      <c r="B28" s="176">
        <f>Calculator!$B$67</f>
        <v>0</v>
      </c>
      <c r="C28" s="177"/>
      <c r="D28" s="178"/>
      <c r="E28" s="138">
        <f>Calculator!$G$67</f>
        <v>0</v>
      </c>
      <c r="F28" s="36">
        <f>Calculator!$F$67+Calculator!$F$67*Calculator!$F$34</f>
        <v>0</v>
      </c>
      <c r="G28" s="136">
        <f t="shared" si="0"/>
        <v>0</v>
      </c>
    </row>
    <row r="29" spans="1:7" x14ac:dyDescent="0.25">
      <c r="A29" s="37">
        <f>Calculator!$A$68</f>
        <v>0</v>
      </c>
      <c r="B29" s="176">
        <f>Calculator!$B$68</f>
        <v>0</v>
      </c>
      <c r="C29" s="177"/>
      <c r="D29" s="178"/>
      <c r="E29" s="138">
        <f>Calculator!$G$68</f>
        <v>0</v>
      </c>
      <c r="F29" s="36">
        <f>Calculator!$F$68+Calculator!$F$68*Calculator!$F$34</f>
        <v>0</v>
      </c>
      <c r="G29" s="136">
        <f t="shared" si="0"/>
        <v>0</v>
      </c>
    </row>
    <row r="30" spans="1:7" x14ac:dyDescent="0.25">
      <c r="A30" s="37" t="str">
        <f>Calculator!$A$69</f>
        <v>HBDSC</v>
      </c>
      <c r="B30" s="176" t="str">
        <f>Calculator!$B$69</f>
        <v>Diamond Shampoo Caddy</v>
      </c>
      <c r="C30" s="177"/>
      <c r="D30" s="178"/>
      <c r="E30" s="138">
        <f>Calculator!$G$69</f>
        <v>0</v>
      </c>
      <c r="F30" s="36">
        <f>Calculator!$F$69+Calculator!$F$69*Calculator!$F$34</f>
        <v>0</v>
      </c>
      <c r="G30" s="136">
        <f t="shared" si="0"/>
        <v>0</v>
      </c>
    </row>
    <row r="31" spans="1:7" x14ac:dyDescent="0.25">
      <c r="A31" s="37" t="str">
        <f>Calculator!$A$70</f>
        <v>HBWB366014</v>
      </c>
      <c r="B31" s="176" t="str">
        <f>Calculator!$B$70</f>
        <v>36" x 60" x ¼" Board</v>
      </c>
      <c r="C31" s="177"/>
      <c r="D31" s="178"/>
      <c r="E31" s="138">
        <f>Calculator!$G$70</f>
        <v>0</v>
      </c>
      <c r="F31" s="36">
        <f>Calculator!$F$70+Calculator!$F$70*Calculator!$F$34</f>
        <v>0</v>
      </c>
      <c r="G31" s="136">
        <f t="shared" si="0"/>
        <v>0</v>
      </c>
    </row>
    <row r="32" spans="1:7" x14ac:dyDescent="0.25">
      <c r="A32" s="37" t="str">
        <f>Calculator!$A$71</f>
        <v>HBWB3648112</v>
      </c>
      <c r="B32" s="176" t="str">
        <f>Calculator!$B$71</f>
        <v>36" x 48" x 1½" Board</v>
      </c>
      <c r="C32" s="177"/>
      <c r="D32" s="178"/>
      <c r="E32" s="138">
        <f>Calculator!$G$71</f>
        <v>0</v>
      </c>
      <c r="F32" s="36">
        <f>Calculator!$F$71+Calculator!$F$71*Calculator!$F$34</f>
        <v>0</v>
      </c>
      <c r="G32" s="136">
        <f t="shared" si="0"/>
        <v>0</v>
      </c>
    </row>
    <row r="33" spans="1:7" x14ac:dyDescent="0.25">
      <c r="A33" s="37" t="str">
        <f>Calculator!A$72</f>
        <v>HBWB48602</v>
      </c>
      <c r="B33" s="176" t="str">
        <f>Calculator!B$72</f>
        <v>48" x 60" x 2" Board</v>
      </c>
      <c r="C33" s="177"/>
      <c r="D33" s="178"/>
      <c r="E33" s="138">
        <f>Calculator!$G$72</f>
        <v>0</v>
      </c>
      <c r="F33" s="36">
        <f>Calculator!$F$72+Calculator!$F$72*Calculator!$F$34</f>
        <v>0</v>
      </c>
      <c r="G33" s="136">
        <f t="shared" si="0"/>
        <v>0</v>
      </c>
    </row>
    <row r="34" spans="1:7" x14ac:dyDescent="0.25">
      <c r="A34" s="37" t="str">
        <f>Calculator!A$73</f>
        <v>HBWB44962</v>
      </c>
      <c r="B34" s="176" t="str">
        <f>Calculator!B$73</f>
        <v>44" x 96" x 2" Board</v>
      </c>
      <c r="C34" s="177"/>
      <c r="D34" s="178"/>
      <c r="E34" s="138">
        <f>Calculator!$G$73</f>
        <v>0</v>
      </c>
      <c r="F34" s="36">
        <f>Calculator!$F$73+Calculator!$F$73*Calculator!$F$34</f>
        <v>0</v>
      </c>
      <c r="G34" s="136">
        <f t="shared" si="0"/>
        <v>0</v>
      </c>
    </row>
    <row r="35" spans="1:7" x14ac:dyDescent="0.25">
      <c r="A35" s="37" t="str">
        <f>Calculator!$A$74</f>
        <v>HBSCREW1000</v>
      </c>
      <c r="B35" s="176" t="str">
        <f>Calculator!$B$74</f>
        <v>Screws (1,000 per bucket)</v>
      </c>
      <c r="C35" s="177"/>
      <c r="D35" s="178"/>
      <c r="E35" s="138">
        <f>Calculator!$G$74</f>
        <v>0</v>
      </c>
      <c r="F35" s="36">
        <f>Calculator!$F$74+Calculator!$F$74*Calculator!$F$34</f>
        <v>0</v>
      </c>
      <c r="G35" s="136">
        <f t="shared" si="0"/>
        <v>0</v>
      </c>
    </row>
    <row r="36" spans="1:7" x14ac:dyDescent="0.25">
      <c r="A36" s="37" t="str">
        <f>Calculator!$A$75</f>
        <v>HBWASH1000</v>
      </c>
      <c r="B36" s="176" t="str">
        <f>Calculator!$B$75</f>
        <v>Washers w/tabs (1,000 per bucket)</v>
      </c>
      <c r="C36" s="177"/>
      <c r="D36" s="178"/>
      <c r="E36" s="138">
        <f>Calculator!$G$75</f>
        <v>0</v>
      </c>
      <c r="F36" s="36">
        <f>Calculator!$F$75+Calculator!$F$75*Calculator!$F$34</f>
        <v>0</v>
      </c>
      <c r="G36" s="136">
        <f t="shared" si="0"/>
        <v>0</v>
      </c>
    </row>
    <row r="37" spans="1:7" x14ac:dyDescent="0.25">
      <c r="A37" s="37" t="str">
        <f>Calculator!$A$76</f>
        <v>HBSAUSGUN</v>
      </c>
      <c r="B37" s="176" t="str">
        <f>Calculator!$B$76</f>
        <v>Sausage Gun</v>
      </c>
      <c r="C37" s="177"/>
      <c r="D37" s="178"/>
      <c r="E37" s="138">
        <f>Calculator!$G$76</f>
        <v>0</v>
      </c>
      <c r="F37" s="36">
        <f>Calculator!$F$76+Calculator!$F$76*Calculator!$F$34</f>
        <v>0</v>
      </c>
      <c r="G37" s="136">
        <f t="shared" si="0"/>
        <v>0</v>
      </c>
    </row>
    <row r="38" spans="1:7" x14ac:dyDescent="0.25">
      <c r="A38" s="37" t="str">
        <f>Calculator!A77</f>
        <v>HBFLJCK</v>
      </c>
      <c r="B38" s="176" t="str">
        <f>Calculator!B77</f>
        <v>24 sq ft Floor Lowering Joist Clip Kit</v>
      </c>
      <c r="C38" s="177"/>
      <c r="D38" s="178"/>
      <c r="E38" s="138">
        <f>Calculator!G$77</f>
        <v>0</v>
      </c>
      <c r="F38" s="36">
        <f>Calculator!F$77+Calculator!F$77*Calculator!F$34</f>
        <v>0</v>
      </c>
      <c r="G38" s="136">
        <f t="shared" si="0"/>
        <v>0</v>
      </c>
    </row>
    <row r="39" spans="1:7" x14ac:dyDescent="0.25">
      <c r="A39" s="37" t="str">
        <f>Calculator!A78</f>
        <v>HBLDCOUP</v>
      </c>
      <c r="B39" s="176" t="str">
        <f>Calculator!B78</f>
        <v>Line Drain Coupler</v>
      </c>
      <c r="C39" s="177"/>
      <c r="D39" s="178"/>
      <c r="E39" s="138">
        <f>Calculator!G$78</f>
        <v>0</v>
      </c>
      <c r="F39" s="36">
        <f>Calculator!F$78+Calculator!F$78*Calculator!F$34</f>
        <v>0</v>
      </c>
      <c r="G39" s="136">
        <f>F39*E39</f>
        <v>0</v>
      </c>
    </row>
    <row r="40" spans="1:7" x14ac:dyDescent="0.25">
      <c r="A40" s="37" t="str">
        <f>Calculator!A79</f>
        <v>HBLDSLOTEXT</v>
      </c>
      <c r="B40" s="176" t="str">
        <f>Calculator!B79</f>
        <v>Line Drain Slot Extender Stick</v>
      </c>
      <c r="C40" s="177"/>
      <c r="D40" s="178"/>
      <c r="E40" s="138">
        <f>Calculator!G$79</f>
        <v>0</v>
      </c>
      <c r="F40" s="36">
        <f>Calculator!F$79+Calculator!F$79*Calculator!F$34</f>
        <v>0</v>
      </c>
      <c r="G40" s="136">
        <f>F40*E40</f>
        <v>0</v>
      </c>
    </row>
    <row r="41" spans="1:7" x14ac:dyDescent="0.25">
      <c r="A41" s="37" t="str">
        <f>Calculator!A80</f>
        <v>HBINSHADOW</v>
      </c>
      <c r="B41" s="176" t="str">
        <f>Calculator!B80</f>
        <v>IN-Shadow Trim (2 pcs)</v>
      </c>
      <c r="C41" s="177"/>
      <c r="D41" s="178"/>
      <c r="E41" s="138">
        <f>Calculator!G80</f>
        <v>0</v>
      </c>
      <c r="F41" s="36">
        <f>Calculator!F80+Calculator!F80*Calculator!F34</f>
        <v>0</v>
      </c>
      <c r="G41" s="136">
        <f>F41*E41</f>
        <v>0</v>
      </c>
    </row>
    <row r="42" spans="1:7" x14ac:dyDescent="0.25">
      <c r="A42" s="38" t="str">
        <f>Calculator!A81</f>
        <v>HBINSI38</v>
      </c>
      <c r="B42" s="179" t="str">
        <f>Calculator!B81</f>
        <v>3/8" IN-Sight Trim (2 pcs)</v>
      </c>
      <c r="C42" s="180"/>
      <c r="D42" s="181"/>
      <c r="E42" s="139">
        <f>Calculator!G$81</f>
        <v>0</v>
      </c>
      <c r="F42" s="39">
        <f>Calculator!F$81+Calculator!F$81*Calculator!F$34</f>
        <v>0</v>
      </c>
      <c r="G42" s="136">
        <f>F42*E42</f>
        <v>0</v>
      </c>
    </row>
    <row r="43" spans="1:7" x14ac:dyDescent="0.25">
      <c r="B43" s="45"/>
      <c r="E43" s="201" t="s">
        <v>267</v>
      </c>
      <c r="F43" s="202"/>
      <c r="G43" s="167">
        <f>SUM(G15:G42)</f>
        <v>0</v>
      </c>
    </row>
    <row r="44" spans="1:7" x14ac:dyDescent="0.25">
      <c r="E44" s="170">
        <v>0</v>
      </c>
      <c r="F44" s="169" t="s">
        <v>269</v>
      </c>
      <c r="G44" s="167">
        <f>G43*E44</f>
        <v>0</v>
      </c>
    </row>
    <row r="45" spans="1:7" x14ac:dyDescent="0.25">
      <c r="E45" s="203" t="s">
        <v>268</v>
      </c>
      <c r="F45" s="204" t="s">
        <v>268</v>
      </c>
      <c r="G45" s="168">
        <f>SUM(G43:G44)</f>
        <v>0</v>
      </c>
    </row>
    <row r="47" spans="1:7" x14ac:dyDescent="0.25">
      <c r="A47" s="47" t="s">
        <v>134</v>
      </c>
    </row>
    <row r="48" spans="1:7" x14ac:dyDescent="0.25">
      <c r="A48" s="205" t="str">
        <f>IF(Calculator!A38=0," ",Calculator!A38)</f>
        <v xml:space="preserve"> </v>
      </c>
      <c r="B48" s="205"/>
      <c r="C48" s="205"/>
      <c r="D48" s="205"/>
      <c r="E48" s="205"/>
      <c r="F48" s="205"/>
      <c r="G48" s="205"/>
    </row>
    <row r="49" spans="1:7" x14ac:dyDescent="0.25">
      <c r="A49" s="205"/>
      <c r="B49" s="205"/>
      <c r="C49" s="205"/>
      <c r="D49" s="205"/>
      <c r="E49" s="205"/>
      <c r="F49" s="205"/>
      <c r="G49" s="205"/>
    </row>
    <row r="50" spans="1:7" x14ac:dyDescent="0.25">
      <c r="A50" s="205"/>
      <c r="B50" s="205"/>
      <c r="C50" s="205"/>
      <c r="D50" s="205"/>
      <c r="E50" s="205"/>
      <c r="F50" s="205"/>
      <c r="G50" s="205"/>
    </row>
    <row r="51" spans="1:7" x14ac:dyDescent="0.25">
      <c r="A51" s="205"/>
      <c r="B51" s="205"/>
      <c r="C51" s="205"/>
      <c r="D51" s="205"/>
      <c r="E51" s="205"/>
      <c r="F51" s="205"/>
      <c r="G51" s="205"/>
    </row>
    <row r="52" spans="1:7" x14ac:dyDescent="0.25">
      <c r="A52" s="205"/>
      <c r="B52" s="205"/>
      <c r="C52" s="205"/>
      <c r="D52" s="205"/>
      <c r="E52" s="205"/>
      <c r="F52" s="205"/>
      <c r="G52" s="205"/>
    </row>
    <row r="53" spans="1:7" x14ac:dyDescent="0.25">
      <c r="A53" s="205"/>
      <c r="B53" s="205"/>
      <c r="C53" s="205"/>
      <c r="D53" s="205"/>
      <c r="E53" s="205"/>
      <c r="F53" s="205"/>
      <c r="G53" s="205"/>
    </row>
    <row r="56" spans="1:7" ht="21" x14ac:dyDescent="0.35">
      <c r="A56" s="185" t="s">
        <v>122</v>
      </c>
      <c r="B56" s="185"/>
      <c r="C56" s="185"/>
      <c r="D56" s="185"/>
      <c r="E56" s="185"/>
      <c r="F56" s="185"/>
      <c r="G56" s="185"/>
    </row>
    <row r="57" spans="1:7" ht="21" x14ac:dyDescent="0.35">
      <c r="A57" s="185" t="str">
        <f>Values!D81</f>
        <v>Pricing matches price list effective 01/01/23</v>
      </c>
      <c r="B57" s="185"/>
      <c r="C57" s="185"/>
      <c r="D57" s="185"/>
      <c r="E57" s="185"/>
      <c r="F57" s="185"/>
      <c r="G57" s="185"/>
    </row>
    <row r="58" spans="1:7" x14ac:dyDescent="0.25">
      <c r="A58" s="200" t="s">
        <v>160</v>
      </c>
      <c r="B58" s="200"/>
      <c r="C58" s="200"/>
      <c r="D58" s="200"/>
      <c r="E58" s="200"/>
      <c r="F58" s="200"/>
      <c r="G58" s="200"/>
    </row>
  </sheetData>
  <sheetProtection algorithmName="SHA-512" hashValue="5RkFyYrd03wcp2ILMvVPOZCZosb2e55iODlcD4fPVuqptRabeLZ2VUrldK1Ia7LSHWrwu8GXLnt78LXC4qL/nA==" saltValue="Oxo7DVfoG8nyVl+bokSm1Q==" spinCount="100000" sheet="1" objects="1" scenarios="1"/>
  <mergeCells count="41">
    <mergeCell ref="F1:G1"/>
    <mergeCell ref="B27:D27"/>
    <mergeCell ref="B14:D14"/>
    <mergeCell ref="B15:D15"/>
    <mergeCell ref="B18:D18"/>
    <mergeCell ref="B20:D20"/>
    <mergeCell ref="B21:D21"/>
    <mergeCell ref="B23:D23"/>
    <mergeCell ref="B24:D24"/>
    <mergeCell ref="B25:D25"/>
    <mergeCell ref="B26:D26"/>
    <mergeCell ref="D1:E1"/>
    <mergeCell ref="B22:D22"/>
    <mergeCell ref="D2:E2"/>
    <mergeCell ref="B16:D16"/>
    <mergeCell ref="B17:D17"/>
    <mergeCell ref="A58:G58"/>
    <mergeCell ref="B36:D36"/>
    <mergeCell ref="A57:G57"/>
    <mergeCell ref="B39:D39"/>
    <mergeCell ref="B40:D40"/>
    <mergeCell ref="B42:D42"/>
    <mergeCell ref="A56:G56"/>
    <mergeCell ref="B38:D38"/>
    <mergeCell ref="B37:D37"/>
    <mergeCell ref="E43:F43"/>
    <mergeCell ref="E45:F45"/>
    <mergeCell ref="A48:G53"/>
    <mergeCell ref="B41:D41"/>
    <mergeCell ref="D5:G5"/>
    <mergeCell ref="D6:G6"/>
    <mergeCell ref="D7:G7"/>
    <mergeCell ref="B34:D34"/>
    <mergeCell ref="B35:D35"/>
    <mergeCell ref="B19:D19"/>
    <mergeCell ref="B33:D33"/>
    <mergeCell ref="B28:D28"/>
    <mergeCell ref="B29:D29"/>
    <mergeCell ref="B30:D30"/>
    <mergeCell ref="B31:D31"/>
    <mergeCell ref="B32:D32"/>
  </mergeCells>
  <conditionalFormatting sqref="A15:G15">
    <cfRule type="expression" dxfId="60" priority="80">
      <formula>$E$15&lt;1</formula>
    </cfRule>
  </conditionalFormatting>
  <conditionalFormatting sqref="A16:G16">
    <cfRule type="expression" dxfId="59" priority="4">
      <formula>$E$16=0</formula>
    </cfRule>
  </conditionalFormatting>
  <conditionalFormatting sqref="A17:G17">
    <cfRule type="expression" dxfId="58" priority="3">
      <formula>$E$17=0</formula>
    </cfRule>
  </conditionalFormatting>
  <conditionalFormatting sqref="A18:G18">
    <cfRule type="expression" dxfId="57" priority="83">
      <formula>$E$18&lt;1</formula>
    </cfRule>
  </conditionalFormatting>
  <conditionalFormatting sqref="A19:G19">
    <cfRule type="expression" dxfId="56" priority="137">
      <formula>$E$19&lt;1</formula>
    </cfRule>
  </conditionalFormatting>
  <conditionalFormatting sqref="A20:G20">
    <cfRule type="expression" dxfId="55" priority="86">
      <formula>$E$20&lt;1</formula>
    </cfRule>
  </conditionalFormatting>
  <conditionalFormatting sqref="A21:G21">
    <cfRule type="expression" dxfId="54" priority="89">
      <formula>$E$21&lt;1</formula>
    </cfRule>
  </conditionalFormatting>
  <conditionalFormatting sqref="A22:G22">
    <cfRule type="expression" dxfId="53" priority="131">
      <formula>$E$22=0</formula>
    </cfRule>
  </conditionalFormatting>
  <conditionalFormatting sqref="A23:G23">
    <cfRule type="expression" dxfId="52" priority="92">
      <formula>$E$23&lt;1</formula>
    </cfRule>
  </conditionalFormatting>
  <conditionalFormatting sqref="A24:G24">
    <cfRule type="expression" dxfId="51" priority="95">
      <formula>$E$24&lt;1</formula>
    </cfRule>
  </conditionalFormatting>
  <conditionalFormatting sqref="A25:G25">
    <cfRule type="expression" dxfId="50" priority="98">
      <formula>$E$25&lt;1</formula>
    </cfRule>
  </conditionalFormatting>
  <conditionalFormatting sqref="A26:G26">
    <cfRule type="expression" dxfId="49" priority="101">
      <formula>$E$26&lt;1</formula>
    </cfRule>
  </conditionalFormatting>
  <conditionalFormatting sqref="A27:G27">
    <cfRule type="expression" dxfId="48" priority="104">
      <formula>$E$27&lt;1</formula>
    </cfRule>
  </conditionalFormatting>
  <conditionalFormatting sqref="A28:G28">
    <cfRule type="expression" dxfId="47" priority="107">
      <formula>$E$28&lt;1</formula>
    </cfRule>
  </conditionalFormatting>
  <conditionalFormatting sqref="A29:G29">
    <cfRule type="expression" dxfId="46" priority="110">
      <formula>$E$29&lt;1</formula>
    </cfRule>
  </conditionalFormatting>
  <conditionalFormatting sqref="A30:G30">
    <cfRule type="expression" dxfId="45" priority="113">
      <formula>$E$30&lt;1</formula>
    </cfRule>
  </conditionalFormatting>
  <conditionalFormatting sqref="A31:G31">
    <cfRule type="expression" dxfId="44" priority="116">
      <formula>$E$31&lt;1</formula>
    </cfRule>
  </conditionalFormatting>
  <conditionalFormatting sqref="A32:G32">
    <cfRule type="expression" dxfId="43" priority="119">
      <formula>$E$32&lt;1</formula>
    </cfRule>
  </conditionalFormatting>
  <conditionalFormatting sqref="A33:G33">
    <cfRule type="expression" dxfId="42" priority="140">
      <formula>$E$33&lt;1</formula>
    </cfRule>
  </conditionalFormatting>
  <conditionalFormatting sqref="A34:G34">
    <cfRule type="expression" dxfId="41" priority="143">
      <formula>$E$34&lt;1</formula>
    </cfRule>
  </conditionalFormatting>
  <conditionalFormatting sqref="A35:G35">
    <cfRule type="expression" dxfId="40" priority="122">
      <formula>$E$35&lt;1</formula>
    </cfRule>
  </conditionalFormatting>
  <conditionalFormatting sqref="A36:G36">
    <cfRule type="expression" dxfId="39" priority="125">
      <formula>$E$36&lt;1</formula>
    </cfRule>
  </conditionalFormatting>
  <conditionalFormatting sqref="A37:G37">
    <cfRule type="expression" dxfId="38" priority="128">
      <formula>$E$37&lt;1</formula>
    </cfRule>
  </conditionalFormatting>
  <conditionalFormatting sqref="A38:G38">
    <cfRule type="expression" dxfId="37" priority="134">
      <formula>$E$38&lt;1</formula>
    </cfRule>
  </conditionalFormatting>
  <conditionalFormatting sqref="A39:G39">
    <cfRule type="expression" dxfId="36" priority="9">
      <formula>$E$39&lt;1</formula>
    </cfRule>
  </conditionalFormatting>
  <conditionalFormatting sqref="A40:G40">
    <cfRule type="expression" dxfId="35" priority="8">
      <formula>$E$40&lt;1</formula>
    </cfRule>
  </conditionalFormatting>
  <conditionalFormatting sqref="A41:G41">
    <cfRule type="expression" dxfId="34" priority="1">
      <formula>$E$41=0</formula>
    </cfRule>
  </conditionalFormatting>
  <conditionalFormatting sqref="A42:G42">
    <cfRule type="expression" dxfId="33" priority="7">
      <formula>$E$42&lt;1</formula>
    </cfRule>
  </conditionalFormatting>
  <conditionalFormatting sqref="A48:G53">
    <cfRule type="expression" dxfId="32" priority="5">
      <formula>" "</formula>
    </cfRule>
  </conditionalFormatting>
  <conditionalFormatting sqref="B5">
    <cfRule type="expression" dxfId="31" priority="18">
      <formula>0</formula>
    </cfRule>
  </conditionalFormatting>
  <printOptions horizontalCentered="1"/>
  <pageMargins left="0.25" right="0.25" top="0.75" bottom="0.75" header="0.3" footer="0.3"/>
  <pageSetup scale="79" orientation="portrait" r:id="rId1"/>
  <headerFooter>
    <oddFooter>&amp;LRevised 09.09.21&amp;R&amp;F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O91"/>
  <sheetViews>
    <sheetView showGridLines="0" zoomScaleNormal="100" workbookViewId="0">
      <selection activeCell="I19" sqref="I19"/>
    </sheetView>
  </sheetViews>
  <sheetFormatPr defaultRowHeight="15" x14ac:dyDescent="0.25"/>
  <cols>
    <col min="1" max="1" width="22.7109375" customWidth="1"/>
    <col min="2" max="2" width="24.140625" style="45" customWidth="1"/>
    <col min="3" max="3" width="12.7109375" customWidth="1"/>
    <col min="4" max="4" width="26" customWidth="1"/>
    <col min="5" max="5" width="19.42578125" customWidth="1"/>
    <col min="6" max="6" width="6.7109375" customWidth="1"/>
    <col min="7" max="7" width="9.85546875" hidden="1" customWidth="1"/>
    <col min="8" max="8" width="9.85546875" customWidth="1"/>
    <col min="9" max="9" width="9.140625" customWidth="1"/>
    <col min="10" max="10" width="9.140625" hidden="1" customWidth="1"/>
    <col min="11" max="11" width="9.140625" customWidth="1"/>
  </cols>
  <sheetData>
    <row r="1" spans="1:10" ht="26.25" x14ac:dyDescent="0.4">
      <c r="D1" s="95"/>
      <c r="E1" s="183" t="s">
        <v>169</v>
      </c>
      <c r="F1" s="183"/>
      <c r="G1" s="95"/>
      <c r="H1" s="206">
        <f ca="1">TODAY()</f>
        <v>45008</v>
      </c>
      <c r="I1" s="183"/>
    </row>
    <row r="2" spans="1:10" x14ac:dyDescent="0.25">
      <c r="D2" s="46"/>
      <c r="E2" s="186" t="s">
        <v>26</v>
      </c>
      <c r="F2" s="186"/>
      <c r="H2" s="216"/>
      <c r="I2" s="216"/>
    </row>
    <row r="3" spans="1:10" x14ac:dyDescent="0.25">
      <c r="D3" s="75"/>
    </row>
    <row r="4" spans="1:10" x14ac:dyDescent="0.25">
      <c r="D4" s="75"/>
    </row>
    <row r="5" spans="1:10" x14ac:dyDescent="0.25">
      <c r="A5" s="102" t="s">
        <v>143</v>
      </c>
      <c r="B5" s="218" t="str">
        <f>IF(Calculator!B5=0," ",Calculator!B5)</f>
        <v xml:space="preserve"> </v>
      </c>
      <c r="C5" s="218"/>
      <c r="D5" s="75"/>
    </row>
    <row r="6" spans="1:10" x14ac:dyDescent="0.25">
      <c r="A6" s="102" t="s">
        <v>156</v>
      </c>
      <c r="B6" s="218" t="str">
        <f>IF(Calculator!B6=0," ",Calculator!B6)</f>
        <v xml:space="preserve"> </v>
      </c>
      <c r="C6" s="218"/>
      <c r="D6" s="75"/>
    </row>
    <row r="7" spans="1:10" x14ac:dyDescent="0.25">
      <c r="A7" s="102" t="s">
        <v>144</v>
      </c>
      <c r="B7" s="218" t="str">
        <f>IF(Calculator!B7=0," ",Calculator!B7)</f>
        <v xml:space="preserve"> </v>
      </c>
      <c r="C7" s="218"/>
      <c r="D7" s="75"/>
    </row>
    <row r="8" spans="1:10" x14ac:dyDescent="0.25">
      <c r="A8" s="102"/>
      <c r="B8" s="218" t="str">
        <f>IF(Calculator!B8=0," ",Calculator!B8)</f>
        <v xml:space="preserve"> </v>
      </c>
      <c r="C8" s="218"/>
      <c r="D8" s="75"/>
    </row>
    <row r="9" spans="1:10" x14ac:dyDescent="0.25">
      <c r="A9" s="102" t="s">
        <v>129</v>
      </c>
      <c r="B9" s="219" t="str">
        <f>IF(Calculator!B9=0," ",Calculator!B9)</f>
        <v xml:space="preserve"> </v>
      </c>
      <c r="C9" s="219"/>
      <c r="D9" s="75"/>
    </row>
    <row r="10" spans="1:10" x14ac:dyDescent="0.25">
      <c r="A10" s="102" t="s">
        <v>130</v>
      </c>
      <c r="B10" s="219" t="str">
        <f>IF(Calculator!B10=0," ",Calculator!B10)</f>
        <v xml:space="preserve"> </v>
      </c>
      <c r="C10" s="219"/>
      <c r="D10" s="75"/>
    </row>
    <row r="11" spans="1:10" x14ac:dyDescent="0.25">
      <c r="A11" s="102" t="s">
        <v>128</v>
      </c>
      <c r="B11" s="220" t="str">
        <f>IF(Calculator!B11=0," ",Calculator!B11)</f>
        <v xml:space="preserve"> </v>
      </c>
      <c r="C11" s="220"/>
      <c r="D11" s="76"/>
    </row>
    <row r="12" spans="1:10" x14ac:dyDescent="0.25">
      <c r="D12" s="182"/>
      <c r="E12" s="182"/>
      <c r="H12" s="217" t="s">
        <v>172</v>
      </c>
      <c r="I12" s="217"/>
    </row>
    <row r="14" spans="1:10" x14ac:dyDescent="0.25">
      <c r="A14" s="78" t="s">
        <v>242</v>
      </c>
      <c r="B14" s="53"/>
      <c r="D14" s="78" t="s">
        <v>106</v>
      </c>
      <c r="E14" s="85"/>
      <c r="H14" s="50" t="s">
        <v>163</v>
      </c>
      <c r="I14" s="51"/>
    </row>
    <row r="15" spans="1:10" x14ac:dyDescent="0.25">
      <c r="A15" s="79" t="s">
        <v>114</v>
      </c>
      <c r="B15" s="171">
        <f>SUM(Calculator!B15:B17)</f>
        <v>0</v>
      </c>
      <c r="D15" s="93" t="s">
        <v>107</v>
      </c>
      <c r="E15" s="90">
        <f>Calculator!F15</f>
        <v>0</v>
      </c>
      <c r="H15" s="52" t="s">
        <v>198</v>
      </c>
      <c r="I15" s="53"/>
    </row>
    <row r="16" spans="1:10" x14ac:dyDescent="0.25">
      <c r="A16" s="79" t="s">
        <v>276</v>
      </c>
      <c r="B16" s="90">
        <f>Calculator!G54+Calculator!G55</f>
        <v>0</v>
      </c>
      <c r="D16" s="79" t="s">
        <v>115</v>
      </c>
      <c r="E16" s="92">
        <f>IF(E15=0,0,G59+J26+SUM(Calculator!M63:M67))</f>
        <v>0</v>
      </c>
      <c r="H16" s="54" t="s">
        <v>111</v>
      </c>
      <c r="I16" s="34">
        <v>1.5</v>
      </c>
      <c r="J16" s="146">
        <f>I16*B15</f>
        <v>0</v>
      </c>
    </row>
    <row r="17" spans="1:15" x14ac:dyDescent="0.25">
      <c r="A17" s="79" t="s">
        <v>277</v>
      </c>
      <c r="B17" s="90">
        <f>Calculator!G56</f>
        <v>0</v>
      </c>
      <c r="D17" s="93" t="s">
        <v>108</v>
      </c>
      <c r="E17" s="90">
        <f>Calculator!F16</f>
        <v>0</v>
      </c>
      <c r="H17" s="54"/>
      <c r="I17" s="57"/>
    </row>
    <row r="18" spans="1:15" x14ac:dyDescent="0.25">
      <c r="A18" s="81" t="s">
        <v>115</v>
      </c>
      <c r="B18" s="89">
        <f>G47+G48+G49+G56+J16+Calculator!M3+Calculator!M4+Calculator!M5</f>
        <v>0</v>
      </c>
      <c r="D18" s="79" t="s">
        <v>115</v>
      </c>
      <c r="E18" s="92">
        <f>IF(E17=0,0,G60+J29+SUM(Calculator!M70:M73))</f>
        <v>0</v>
      </c>
      <c r="H18" s="55" t="s">
        <v>1</v>
      </c>
      <c r="I18" s="56"/>
    </row>
    <row r="19" spans="1:15" x14ac:dyDescent="0.25">
      <c r="D19" s="93" t="s">
        <v>354</v>
      </c>
      <c r="E19" s="90">
        <f>Calculator!F17</f>
        <v>0</v>
      </c>
      <c r="H19" s="54" t="s">
        <v>111</v>
      </c>
      <c r="I19" s="34">
        <v>12</v>
      </c>
      <c r="J19" s="146">
        <f>I19*B21</f>
        <v>0</v>
      </c>
    </row>
    <row r="20" spans="1:15" x14ac:dyDescent="0.25">
      <c r="A20" s="78" t="s">
        <v>23</v>
      </c>
      <c r="B20" s="53"/>
      <c r="D20" s="79" t="s">
        <v>115</v>
      </c>
      <c r="E20" s="92">
        <f>IF(E19=0,0,G61+J32+Calculator!M75+Calculator!M76)</f>
        <v>0</v>
      </c>
      <c r="H20" s="54" t="s">
        <v>185</v>
      </c>
      <c r="I20" s="34">
        <v>50</v>
      </c>
      <c r="J20" s="146">
        <f>F54*I20+Calculator!M86</f>
        <v>0</v>
      </c>
    </row>
    <row r="21" spans="1:15" x14ac:dyDescent="0.25">
      <c r="A21" s="79" t="s">
        <v>114</v>
      </c>
      <c r="B21" s="90">
        <f>Calculator!B20</f>
        <v>0</v>
      </c>
      <c r="D21" s="93" t="s">
        <v>109</v>
      </c>
      <c r="E21" s="90">
        <f>Calculator!F18</f>
        <v>0</v>
      </c>
      <c r="H21" s="55"/>
      <c r="I21" s="56"/>
    </row>
    <row r="22" spans="1:15" x14ac:dyDescent="0.25">
      <c r="A22" s="79" t="s">
        <v>1</v>
      </c>
      <c r="B22" s="90" t="str">
        <f>Calculator!B21</f>
        <v>Select Size</v>
      </c>
      <c r="D22" s="79" t="s">
        <v>115</v>
      </c>
      <c r="E22" s="92">
        <f>IF(E21=0,0,G62+J35+Calculator!M77)</f>
        <v>0</v>
      </c>
      <c r="H22" s="55" t="s">
        <v>2</v>
      </c>
      <c r="I22" s="56"/>
    </row>
    <row r="23" spans="1:15" x14ac:dyDescent="0.25">
      <c r="A23" s="79" t="s">
        <v>188</v>
      </c>
      <c r="B23" s="90" t="str">
        <f>Calculator!B22</f>
        <v>Select Size</v>
      </c>
      <c r="D23" s="93" t="s">
        <v>189</v>
      </c>
      <c r="E23" s="90">
        <f>Calculator!F19</f>
        <v>0</v>
      </c>
      <c r="H23" s="54" t="s">
        <v>112</v>
      </c>
      <c r="I23" s="34">
        <v>2</v>
      </c>
      <c r="J23" s="146">
        <f>I23*B34*5+I23*B35*8</f>
        <v>0</v>
      </c>
    </row>
    <row r="24" spans="1:15" x14ac:dyDescent="0.25">
      <c r="A24" s="79" t="s">
        <v>116</v>
      </c>
      <c r="B24" s="90" t="str">
        <f>Calculator!B24</f>
        <v>Select Size</v>
      </c>
      <c r="D24" s="93" t="s">
        <v>356</v>
      </c>
      <c r="E24" s="90">
        <f>Calculator!F20</f>
        <v>0</v>
      </c>
      <c r="H24" s="55"/>
      <c r="I24" s="56"/>
    </row>
    <row r="25" spans="1:15" x14ac:dyDescent="0.25">
      <c r="A25" s="79" t="s">
        <v>117</v>
      </c>
      <c r="B25" s="90" t="str">
        <f>Calculator!B25</f>
        <v>Select Size</v>
      </c>
      <c r="D25" s="93" t="s">
        <v>190</v>
      </c>
      <c r="E25" s="90">
        <f>Calculator!F21</f>
        <v>0</v>
      </c>
      <c r="H25" s="55" t="s">
        <v>103</v>
      </c>
      <c r="I25" s="56"/>
      <c r="N25" s="49"/>
    </row>
    <row r="26" spans="1:15" x14ac:dyDescent="0.25">
      <c r="A26" s="81" t="s">
        <v>115</v>
      </c>
      <c r="B26" s="89">
        <f>SUM(G50:G54)+SUM(G70:G74)+SUM(J19:J20)</f>
        <v>0</v>
      </c>
      <c r="D26" s="93" t="s">
        <v>191</v>
      </c>
      <c r="E26" s="90">
        <f>Calculator!F22</f>
        <v>0</v>
      </c>
      <c r="H26" s="54" t="s">
        <v>113</v>
      </c>
      <c r="I26" s="34">
        <v>25</v>
      </c>
      <c r="J26" s="146">
        <f>E15*I26</f>
        <v>0</v>
      </c>
      <c r="O26" s="49"/>
    </row>
    <row r="27" spans="1:15" ht="15" customHeight="1" x14ac:dyDescent="0.25">
      <c r="D27" s="93" t="s">
        <v>192</v>
      </c>
      <c r="E27" s="90">
        <f>Calculator!F23</f>
        <v>0</v>
      </c>
      <c r="H27" s="55"/>
      <c r="I27" s="56"/>
    </row>
    <row r="28" spans="1:15" x14ac:dyDescent="0.25">
      <c r="A28" s="78" t="s">
        <v>5</v>
      </c>
      <c r="B28" s="77"/>
      <c r="D28" s="93" t="s">
        <v>147</v>
      </c>
      <c r="E28" s="90">
        <f>Calculator!F24</f>
        <v>0</v>
      </c>
      <c r="H28" s="55" t="s">
        <v>72</v>
      </c>
      <c r="I28" s="56"/>
    </row>
    <row r="29" spans="1:15" x14ac:dyDescent="0.25">
      <c r="A29" s="79" t="s">
        <v>6</v>
      </c>
      <c r="B29" s="145">
        <f>Calculator!B28</f>
        <v>0</v>
      </c>
      <c r="D29" s="93" t="s">
        <v>148</v>
      </c>
      <c r="E29" s="90">
        <f>Calculator!F25</f>
        <v>0</v>
      </c>
      <c r="H29" s="54" t="s">
        <v>113</v>
      </c>
      <c r="I29" s="34">
        <v>25</v>
      </c>
      <c r="J29" s="146">
        <f>I29*E17</f>
        <v>0</v>
      </c>
    </row>
    <row r="30" spans="1:15" x14ac:dyDescent="0.25">
      <c r="A30" s="79" t="s">
        <v>27</v>
      </c>
      <c r="B30" s="90" t="str">
        <f>Calculator!B29</f>
        <v>10 oz.</v>
      </c>
      <c r="D30" s="93" t="s">
        <v>146</v>
      </c>
      <c r="E30" s="90">
        <f>Calculator!F26</f>
        <v>0</v>
      </c>
      <c r="H30" s="55"/>
      <c r="I30" s="56"/>
    </row>
    <row r="31" spans="1:15" ht="16.5" customHeight="1" x14ac:dyDescent="0.25">
      <c r="A31" s="81" t="s">
        <v>110</v>
      </c>
      <c r="B31" s="91">
        <f>Calculator!B30</f>
        <v>0</v>
      </c>
      <c r="D31" s="93" t="s">
        <v>155</v>
      </c>
      <c r="E31" s="90">
        <f>Calculator!F27</f>
        <v>0</v>
      </c>
      <c r="H31" s="55" t="s">
        <v>105</v>
      </c>
      <c r="I31" s="56"/>
    </row>
    <row r="32" spans="1:15" ht="16.5" customHeight="1" x14ac:dyDescent="0.25">
      <c r="D32" s="93" t="s">
        <v>186</v>
      </c>
      <c r="E32" s="90">
        <f>Calculator!F28</f>
        <v>0</v>
      </c>
      <c r="H32" s="54" t="s">
        <v>113</v>
      </c>
      <c r="I32" s="34">
        <v>30</v>
      </c>
      <c r="J32" s="146">
        <f>I32*E19</f>
        <v>0</v>
      </c>
    </row>
    <row r="33" spans="1:10" ht="15" customHeight="1" x14ac:dyDescent="0.25">
      <c r="A33" s="78" t="s">
        <v>0</v>
      </c>
      <c r="B33" s="53"/>
      <c r="D33" s="93" t="s">
        <v>265</v>
      </c>
      <c r="E33" s="90">
        <f>Calculator!F29</f>
        <v>0</v>
      </c>
      <c r="H33" s="55"/>
      <c r="I33" s="56"/>
    </row>
    <row r="34" spans="1:10" ht="15" customHeight="1" x14ac:dyDescent="0.25">
      <c r="A34" s="79" t="str">
        <f>IF(Calculator!A64="HBSCM60",Calculator!J81,Calculator!J80)</f>
        <v>60" x 3½" x 4" Curb</v>
      </c>
      <c r="B34" s="90">
        <f>Calculator!B33</f>
        <v>0</v>
      </c>
      <c r="D34" s="93"/>
      <c r="E34" s="90"/>
      <c r="H34" s="55" t="s">
        <v>104</v>
      </c>
      <c r="I34" s="56"/>
    </row>
    <row r="35" spans="1:10" x14ac:dyDescent="0.25">
      <c r="A35" s="79" t="str">
        <f>IF(Calculator!A65="HBSCM84",Calculator!J84,Calculator!J83)</f>
        <v>84" x 3½" x 4" Curb</v>
      </c>
      <c r="B35" s="90">
        <f>Calculator!B34</f>
        <v>0</v>
      </c>
      <c r="D35" s="94" t="s">
        <v>246</v>
      </c>
      <c r="E35" s="91">
        <f>Calculator!H81</f>
        <v>0</v>
      </c>
      <c r="H35" s="62" t="s">
        <v>113</v>
      </c>
      <c r="I35" s="63">
        <v>25</v>
      </c>
      <c r="J35" s="146">
        <f>I35*E21</f>
        <v>0</v>
      </c>
    </row>
    <row r="36" spans="1:10" ht="15" customHeight="1" x14ac:dyDescent="0.25">
      <c r="A36" s="79" t="s">
        <v>119</v>
      </c>
      <c r="B36" s="159" t="e">
        <f>(SUM(F57:F58)+SUM(Calculator!M80:M84))/(B34*5+B35*7)</f>
        <v>#DIV/0!</v>
      </c>
      <c r="H36" s="210" t="s">
        <v>164</v>
      </c>
      <c r="I36" s="211"/>
    </row>
    <row r="37" spans="1:10" x14ac:dyDescent="0.25">
      <c r="A37" s="81" t="s">
        <v>115</v>
      </c>
      <c r="B37" s="89">
        <f>SUM(G57:G58)+J23+SUM(Calculator!M80:M84)</f>
        <v>0</v>
      </c>
      <c r="D37" s="78" t="s">
        <v>3</v>
      </c>
      <c r="E37" s="53"/>
      <c r="H37" s="212"/>
      <c r="I37" s="213"/>
    </row>
    <row r="38" spans="1:10" x14ac:dyDescent="0.25">
      <c r="D38" s="79" t="s">
        <v>120</v>
      </c>
      <c r="E38" s="92">
        <f>Calculator!H82+SUM('With Labor'!J16:J35)</f>
        <v>0</v>
      </c>
      <c r="H38" s="212"/>
      <c r="I38" s="213"/>
    </row>
    <row r="39" spans="1:10" x14ac:dyDescent="0.25">
      <c r="A39" s="48" t="s">
        <v>243</v>
      </c>
      <c r="B39" s="61">
        <f>Calculator!F33</f>
        <v>0</v>
      </c>
      <c r="D39" s="79" t="s">
        <v>159</v>
      </c>
      <c r="E39" s="88"/>
      <c r="H39" s="212"/>
      <c r="I39" s="213"/>
    </row>
    <row r="40" spans="1:10" x14ac:dyDescent="0.25">
      <c r="A40" s="68" t="s">
        <v>244</v>
      </c>
      <c r="B40" s="61">
        <f>E38-B39</f>
        <v>0</v>
      </c>
      <c r="D40" s="81" t="s">
        <v>118</v>
      </c>
      <c r="E40" s="89">
        <f>E38/(1-E39)</f>
        <v>0</v>
      </c>
      <c r="H40" s="214"/>
      <c r="I40" s="215"/>
    </row>
    <row r="41" spans="1:10" x14ac:dyDescent="0.25">
      <c r="H41" s="163"/>
      <c r="I41" s="163"/>
    </row>
    <row r="42" spans="1:10" ht="21" hidden="1" x14ac:dyDescent="0.35">
      <c r="A42" s="183" t="s">
        <v>25</v>
      </c>
      <c r="B42" s="187"/>
      <c r="C42" s="187"/>
      <c r="D42" s="187"/>
      <c r="E42" s="187"/>
      <c r="F42" s="187"/>
      <c r="G42" s="187"/>
      <c r="H42" s="101"/>
      <c r="I42" s="101"/>
    </row>
    <row r="43" spans="1:10" hidden="1" x14ac:dyDescent="0.25">
      <c r="A43" s="188" t="s">
        <v>26</v>
      </c>
      <c r="B43" s="188"/>
      <c r="C43" s="188"/>
      <c r="D43" s="188"/>
      <c r="E43" s="188"/>
      <c r="F43" s="188"/>
      <c r="G43" s="188"/>
      <c r="H43" s="41"/>
    </row>
    <row r="44" spans="1:10" hidden="1" x14ac:dyDescent="0.25"/>
    <row r="45" spans="1:10" hidden="1" x14ac:dyDescent="0.25"/>
    <row r="46" spans="1:10" hidden="1" x14ac:dyDescent="0.25">
      <c r="A46" s="64" t="s">
        <v>62</v>
      </c>
      <c r="B46" s="189" t="s">
        <v>63</v>
      </c>
      <c r="C46" s="190"/>
      <c r="D46" s="191"/>
      <c r="E46" s="65" t="s">
        <v>70</v>
      </c>
      <c r="F46" s="66" t="s">
        <v>29</v>
      </c>
      <c r="G46" s="65" t="s">
        <v>71</v>
      </c>
    </row>
    <row r="47" spans="1:10" hidden="1" x14ac:dyDescent="0.25">
      <c r="A47" s="134" t="str">
        <f>Calculator!A54</f>
        <v>HBWB366012</v>
      </c>
      <c r="B47" s="207" t="str">
        <f>Calculator!B54</f>
        <v>36" x 60" x ½" Board</v>
      </c>
      <c r="C47" s="192"/>
      <c r="D47" s="208"/>
      <c r="E47" s="140">
        <f>Calculator!F54</f>
        <v>0</v>
      </c>
      <c r="F47" s="137">
        <f>Calculator!G54</f>
        <v>0</v>
      </c>
      <c r="G47" s="136">
        <f>E47*F47</f>
        <v>0</v>
      </c>
    </row>
    <row r="48" spans="1:10" hidden="1" x14ac:dyDescent="0.25">
      <c r="A48" s="133" t="str">
        <f>Calculator!A55</f>
        <v>HBWB366058</v>
      </c>
      <c r="B48" s="133" t="str">
        <f>Calculator!B55</f>
        <v>36" x 60" x ⅝" Board</v>
      </c>
      <c r="C48" s="45"/>
      <c r="D48" s="164"/>
      <c r="E48" s="136">
        <f>Calculator!F55</f>
        <v>0</v>
      </c>
      <c r="F48" s="138">
        <f>Calculator!G55</f>
        <v>0</v>
      </c>
      <c r="G48" s="136">
        <f>E48*F48</f>
        <v>0</v>
      </c>
    </row>
    <row r="49" spans="1:8" hidden="1" x14ac:dyDescent="0.25">
      <c r="A49" s="133" t="str">
        <f>Calculator!A56</f>
        <v>HBWB486412</v>
      </c>
      <c r="B49" s="133" t="str">
        <f>Calculator!B56</f>
        <v>48" x 64" x ½" Board</v>
      </c>
      <c r="C49" s="45"/>
      <c r="D49" s="164"/>
      <c r="E49" s="136">
        <f>Calculator!F56</f>
        <v>0</v>
      </c>
      <c r="F49" s="138">
        <f>Calculator!G56</f>
        <v>0</v>
      </c>
      <c r="G49" s="136">
        <f>E49*F49</f>
        <v>0</v>
      </c>
    </row>
    <row r="50" spans="1:8" hidden="1" x14ac:dyDescent="0.25">
      <c r="A50" s="133">
        <f>Calculator!A57</f>
        <v>0</v>
      </c>
      <c r="B50" s="176">
        <f>Calculator!B57</f>
        <v>0</v>
      </c>
      <c r="C50" s="177"/>
      <c r="D50" s="178"/>
      <c r="E50" s="136">
        <f>Calculator!F57</f>
        <v>0</v>
      </c>
      <c r="F50" s="138">
        <f>Calculator!G57</f>
        <v>0</v>
      </c>
      <c r="G50" s="136">
        <f>E50*F50</f>
        <v>0</v>
      </c>
    </row>
    <row r="51" spans="1:8" hidden="1" x14ac:dyDescent="0.25">
      <c r="A51" s="133">
        <f>Calculator!A58</f>
        <v>0</v>
      </c>
      <c r="B51" s="176">
        <f>Calculator!B58</f>
        <v>0</v>
      </c>
      <c r="C51" s="177"/>
      <c r="D51" s="178"/>
      <c r="E51" s="136">
        <f>Calculator!F58</f>
        <v>0</v>
      </c>
      <c r="F51" s="138">
        <f>Calculator!G58</f>
        <v>0</v>
      </c>
      <c r="G51" s="136">
        <f>E51*F51</f>
        <v>0</v>
      </c>
    </row>
    <row r="52" spans="1:8" hidden="1" x14ac:dyDescent="0.25">
      <c r="A52" s="133">
        <f>Calculator!A59</f>
        <v>0</v>
      </c>
      <c r="B52" s="176">
        <f>Calculator!B59</f>
        <v>0</v>
      </c>
      <c r="C52" s="177"/>
      <c r="D52" s="178"/>
      <c r="E52" s="136">
        <f>Calculator!F59</f>
        <v>0</v>
      </c>
      <c r="F52" s="138">
        <f>Calculator!G59</f>
        <v>0</v>
      </c>
      <c r="G52" s="136">
        <f t="shared" ref="G52:G68" si="0">E52*F52</f>
        <v>0</v>
      </c>
    </row>
    <row r="53" spans="1:8" hidden="1" x14ac:dyDescent="0.25">
      <c r="A53" s="133">
        <f>Calculator!A60</f>
        <v>0</v>
      </c>
      <c r="B53" s="176">
        <f>Calculator!B60</f>
        <v>0</v>
      </c>
      <c r="C53" s="177"/>
      <c r="D53" s="178"/>
      <c r="E53" s="136">
        <f>Calculator!F60</f>
        <v>0</v>
      </c>
      <c r="F53" s="138">
        <f>Calculator!G60</f>
        <v>0</v>
      </c>
      <c r="G53" s="136">
        <f t="shared" si="0"/>
        <v>0</v>
      </c>
    </row>
    <row r="54" spans="1:8" hidden="1" x14ac:dyDescent="0.25">
      <c r="A54" s="133" t="str">
        <f>Calculator!A61</f>
        <v>HBLD73</v>
      </c>
      <c r="B54" s="176" t="str">
        <f>Calculator!B61</f>
        <v>73½" Line Drain Kit</v>
      </c>
      <c r="C54" s="177"/>
      <c r="D54" s="178"/>
      <c r="E54" s="136">
        <f>Calculator!F61</f>
        <v>0</v>
      </c>
      <c r="F54" s="138">
        <f>Calculator!G61</f>
        <v>0</v>
      </c>
      <c r="G54" s="136">
        <f t="shared" si="0"/>
        <v>0</v>
      </c>
    </row>
    <row r="55" spans="1:8" hidden="1" x14ac:dyDescent="0.25">
      <c r="A55" s="133" t="str">
        <f>Calculator!A62</f>
        <v>HBJSCART</v>
      </c>
      <c r="B55" s="176" t="str">
        <f>Calculator!B62</f>
        <v>Joint Sealant Cartridge 10 oz</v>
      </c>
      <c r="C55" s="177"/>
      <c r="D55" s="178"/>
      <c r="E55" s="136">
        <f>Calculator!F62</f>
        <v>0</v>
      </c>
      <c r="F55" s="138">
        <f>Calculator!G62</f>
        <v>0</v>
      </c>
      <c r="G55" s="136">
        <f t="shared" si="0"/>
        <v>0</v>
      </c>
    </row>
    <row r="56" spans="1:8" hidden="1" x14ac:dyDescent="0.25">
      <c r="A56" s="133" t="str">
        <f>Calculator!A63</f>
        <v>HBSCREWWASHER100</v>
      </c>
      <c r="B56" s="176" t="str">
        <f>Calculator!B63</f>
        <v>Screws &amp; Washers (Box of 100)</v>
      </c>
      <c r="C56" s="177"/>
      <c r="D56" s="178"/>
      <c r="E56" s="136">
        <f>Calculator!F63</f>
        <v>0</v>
      </c>
      <c r="F56" s="138">
        <f>Calculator!G63</f>
        <v>0</v>
      </c>
      <c r="G56" s="136">
        <f t="shared" si="0"/>
        <v>0</v>
      </c>
    </row>
    <row r="57" spans="1:8" hidden="1" x14ac:dyDescent="0.25">
      <c r="A57" s="133">
        <f>Calculator!A64</f>
        <v>0</v>
      </c>
      <c r="B57" s="176">
        <f>Calculator!B64</f>
        <v>0</v>
      </c>
      <c r="C57" s="177"/>
      <c r="D57" s="178"/>
      <c r="E57" s="136">
        <f>Calculator!F64</f>
        <v>0</v>
      </c>
      <c r="F57" s="138">
        <f>Calculator!G64</f>
        <v>0</v>
      </c>
      <c r="G57" s="136">
        <f t="shared" si="0"/>
        <v>0</v>
      </c>
    </row>
    <row r="58" spans="1:8" hidden="1" x14ac:dyDescent="0.25">
      <c r="A58" s="133">
        <f>Calculator!A65</f>
        <v>0</v>
      </c>
      <c r="B58" s="176">
        <f>Calculator!B65</f>
        <v>0</v>
      </c>
      <c r="C58" s="177"/>
      <c r="D58" s="178"/>
      <c r="E58" s="136">
        <f>Calculator!F65</f>
        <v>0</v>
      </c>
      <c r="F58" s="138">
        <f>Calculator!G65</f>
        <v>0</v>
      </c>
      <c r="G58" s="136">
        <f t="shared" si="0"/>
        <v>0</v>
      </c>
    </row>
    <row r="59" spans="1:8" hidden="1" x14ac:dyDescent="0.25">
      <c r="A59" s="133">
        <f>Calculator!A66</f>
        <v>0</v>
      </c>
      <c r="B59" s="176">
        <f>Calculator!B66</f>
        <v>0</v>
      </c>
      <c r="C59" s="177"/>
      <c r="D59" s="178"/>
      <c r="E59" s="136">
        <f>Calculator!F66</f>
        <v>0</v>
      </c>
      <c r="F59" s="138">
        <f>Calculator!G66</f>
        <v>0</v>
      </c>
      <c r="G59" s="136">
        <f t="shared" si="0"/>
        <v>0</v>
      </c>
    </row>
    <row r="60" spans="1:8" hidden="1" x14ac:dyDescent="0.25">
      <c r="A60" s="133">
        <f>Calculator!A67</f>
        <v>0</v>
      </c>
      <c r="B60" s="176">
        <f>Calculator!B67</f>
        <v>0</v>
      </c>
      <c r="C60" s="177"/>
      <c r="D60" s="178"/>
      <c r="E60" s="136">
        <f>Calculator!F67</f>
        <v>0</v>
      </c>
      <c r="F60" s="138">
        <f>Calculator!G67</f>
        <v>0</v>
      </c>
      <c r="G60" s="136">
        <f t="shared" si="0"/>
        <v>0</v>
      </c>
    </row>
    <row r="61" spans="1:8" hidden="1" x14ac:dyDescent="0.25">
      <c r="A61" s="133">
        <f>Calculator!A68</f>
        <v>0</v>
      </c>
      <c r="B61" s="176">
        <f>Calculator!B68</f>
        <v>0</v>
      </c>
      <c r="C61" s="177"/>
      <c r="D61" s="178"/>
      <c r="E61" s="136">
        <f>Calculator!F68</f>
        <v>0</v>
      </c>
      <c r="F61" s="138">
        <f>Calculator!G68</f>
        <v>0</v>
      </c>
      <c r="G61" s="136">
        <f t="shared" si="0"/>
        <v>0</v>
      </c>
    </row>
    <row r="62" spans="1:8" hidden="1" x14ac:dyDescent="0.25">
      <c r="A62" s="133" t="str">
        <f>Calculator!A69</f>
        <v>HBDSC</v>
      </c>
      <c r="B62" s="176" t="str">
        <f>Calculator!B69</f>
        <v>Diamond Shampoo Caddy</v>
      </c>
      <c r="C62" s="177"/>
      <c r="D62" s="178"/>
      <c r="E62" s="136">
        <f>Calculator!F69</f>
        <v>0</v>
      </c>
      <c r="F62" s="138">
        <f>Calculator!G69</f>
        <v>0</v>
      </c>
      <c r="G62" s="136">
        <f t="shared" si="0"/>
        <v>0</v>
      </c>
      <c r="H62" s="59"/>
    </row>
    <row r="63" spans="1:8" hidden="1" x14ac:dyDescent="0.25">
      <c r="A63" s="133" t="str">
        <f>Calculator!A70</f>
        <v>HBWB366014</v>
      </c>
      <c r="B63" s="176" t="str">
        <f>Calculator!B70</f>
        <v>36" x 60" x ¼" Board</v>
      </c>
      <c r="C63" s="177"/>
      <c r="D63" s="178"/>
      <c r="E63" s="136">
        <f>Calculator!F70</f>
        <v>0</v>
      </c>
      <c r="F63" s="138">
        <f>Calculator!G70</f>
        <v>0</v>
      </c>
      <c r="G63" s="136">
        <f t="shared" si="0"/>
        <v>0</v>
      </c>
      <c r="H63" s="59"/>
    </row>
    <row r="64" spans="1:8" hidden="1" x14ac:dyDescent="0.25">
      <c r="A64" s="133" t="str">
        <f>Calculator!A71</f>
        <v>HBWB3648112</v>
      </c>
      <c r="B64" s="176" t="str">
        <f>Calculator!B71</f>
        <v>36" x 48" x 1½" Board</v>
      </c>
      <c r="C64" s="177"/>
      <c r="D64" s="178"/>
      <c r="E64" s="136">
        <f>Calculator!F71</f>
        <v>0</v>
      </c>
      <c r="F64" s="138">
        <f>Calculator!G71</f>
        <v>0</v>
      </c>
      <c r="G64" s="136">
        <f t="shared" si="0"/>
        <v>0</v>
      </c>
      <c r="H64" s="60"/>
    </row>
    <row r="65" spans="1:8" hidden="1" x14ac:dyDescent="0.25">
      <c r="A65" s="133" t="str">
        <f>Calculator!A72</f>
        <v>HBWB48602</v>
      </c>
      <c r="B65" s="176" t="str">
        <f>Calculator!B72</f>
        <v>48" x 60" x 2" Board</v>
      </c>
      <c r="C65" s="177"/>
      <c r="D65" s="178"/>
      <c r="E65" s="136">
        <f>Calculator!F72</f>
        <v>0</v>
      </c>
      <c r="F65" s="138">
        <f>Calculator!G72</f>
        <v>0</v>
      </c>
      <c r="G65" s="136">
        <f t="shared" ref="G65:G66" si="1">E65*F65</f>
        <v>0</v>
      </c>
      <c r="H65" s="60"/>
    </row>
    <row r="66" spans="1:8" hidden="1" x14ac:dyDescent="0.25">
      <c r="A66" s="133" t="str">
        <f>Calculator!A73</f>
        <v>HBWB44962</v>
      </c>
      <c r="B66" s="176" t="str">
        <f>Calculator!B73</f>
        <v>44" x 96" x 2" Board</v>
      </c>
      <c r="C66" s="177"/>
      <c r="D66" s="178"/>
      <c r="E66" s="136">
        <f>Calculator!F73</f>
        <v>0</v>
      </c>
      <c r="F66" s="138">
        <f>Calculator!G73</f>
        <v>0</v>
      </c>
      <c r="G66" s="136">
        <f t="shared" si="1"/>
        <v>0</v>
      </c>
      <c r="H66" s="60"/>
    </row>
    <row r="67" spans="1:8" hidden="1" x14ac:dyDescent="0.25">
      <c r="A67" s="133" t="str">
        <f>Calculator!A74</f>
        <v>HBSCREW1000</v>
      </c>
      <c r="B67" s="176" t="str">
        <f>Calculator!B74</f>
        <v>Screws (1,000 per bucket)</v>
      </c>
      <c r="C67" s="177"/>
      <c r="D67" s="178"/>
      <c r="E67" s="136">
        <f>Calculator!F74</f>
        <v>0</v>
      </c>
      <c r="F67" s="138">
        <f>Calculator!G74</f>
        <v>0</v>
      </c>
      <c r="G67" s="136">
        <f t="shared" si="0"/>
        <v>0</v>
      </c>
      <c r="H67" s="60"/>
    </row>
    <row r="68" spans="1:8" hidden="1" x14ac:dyDescent="0.25">
      <c r="A68" s="133" t="str">
        <f>Calculator!A75</f>
        <v>HBWASH1000</v>
      </c>
      <c r="B68" s="176" t="str">
        <f>Calculator!B75</f>
        <v>Washers w/tabs (1,000 per bucket)</v>
      </c>
      <c r="C68" s="177"/>
      <c r="D68" s="178"/>
      <c r="E68" s="136">
        <f>Calculator!F75</f>
        <v>0</v>
      </c>
      <c r="F68" s="138">
        <f>Calculator!G75</f>
        <v>0</v>
      </c>
      <c r="G68" s="136">
        <f t="shared" si="0"/>
        <v>0</v>
      </c>
      <c r="H68" s="60"/>
    </row>
    <row r="69" spans="1:8" hidden="1" x14ac:dyDescent="0.25">
      <c r="A69" s="133" t="str">
        <f>Calculator!A76</f>
        <v>HBSAUSGUN</v>
      </c>
      <c r="B69" s="176" t="str">
        <f>Calculator!B76</f>
        <v>Sausage Gun</v>
      </c>
      <c r="C69" s="177"/>
      <c r="D69" s="178"/>
      <c r="E69" s="136">
        <f>Calculator!F76</f>
        <v>0</v>
      </c>
      <c r="F69" s="138">
        <f>Calculator!G76</f>
        <v>0</v>
      </c>
      <c r="G69" s="136">
        <f>E69*F69</f>
        <v>0</v>
      </c>
      <c r="H69" s="60"/>
    </row>
    <row r="70" spans="1:8" hidden="1" x14ac:dyDescent="0.25">
      <c r="A70" s="133" t="str">
        <f>Calculator!A77</f>
        <v>HBFLJCK</v>
      </c>
      <c r="B70" s="176" t="str">
        <f>Calculator!B77</f>
        <v>24 sq ft Floor Lowering Joist Clip Kit</v>
      </c>
      <c r="C70" s="177"/>
      <c r="D70" s="178"/>
      <c r="E70" s="136">
        <f>Calculator!F77</f>
        <v>0</v>
      </c>
      <c r="F70" s="138">
        <f>Calculator!G77</f>
        <v>0</v>
      </c>
      <c r="G70" s="136">
        <f>E70*F70</f>
        <v>0</v>
      </c>
      <c r="H70" s="60"/>
    </row>
    <row r="71" spans="1:8" hidden="1" x14ac:dyDescent="0.25">
      <c r="A71" s="133" t="str">
        <f>Calculator!A78</f>
        <v>HBLDCOUP</v>
      </c>
      <c r="B71" s="176" t="str">
        <f>Calculator!B78</f>
        <v>Line Drain Coupler</v>
      </c>
      <c r="C71" s="177"/>
      <c r="D71" s="178"/>
      <c r="E71" s="136">
        <f>Calculator!F78</f>
        <v>0</v>
      </c>
      <c r="F71" s="138">
        <f>Calculator!G78</f>
        <v>0</v>
      </c>
      <c r="G71" s="136">
        <f t="shared" ref="G71:G74" si="2">E71*F71</f>
        <v>0</v>
      </c>
      <c r="H71" s="58"/>
    </row>
    <row r="72" spans="1:8" hidden="1" x14ac:dyDescent="0.25">
      <c r="A72" s="133" t="str">
        <f>Calculator!A79</f>
        <v>HBLDSLOTEXT</v>
      </c>
      <c r="B72" s="176" t="str">
        <f>Calculator!B79</f>
        <v>Line Drain Slot Extender Stick</v>
      </c>
      <c r="C72" s="177"/>
      <c r="D72" s="178"/>
      <c r="E72" s="136">
        <f>Calculator!F79</f>
        <v>0</v>
      </c>
      <c r="F72" s="138">
        <f>Calculator!G79</f>
        <v>0</v>
      </c>
      <c r="G72" s="136">
        <f t="shared" si="2"/>
        <v>0</v>
      </c>
      <c r="H72" s="58"/>
    </row>
    <row r="73" spans="1:8" hidden="1" x14ac:dyDescent="0.25">
      <c r="A73" s="133" t="str">
        <f>Calculator!A80</f>
        <v>HBINSHADOW</v>
      </c>
      <c r="B73" s="133" t="str">
        <f>Calculator!B80</f>
        <v>IN-Shadow Trim (2 pcs)</v>
      </c>
      <c r="C73" s="45"/>
      <c r="D73" s="164"/>
      <c r="E73" s="136">
        <f>Calculator!F80</f>
        <v>0</v>
      </c>
      <c r="F73" s="138">
        <f>Calculator!G80</f>
        <v>0</v>
      </c>
      <c r="G73" s="136">
        <f>E73*F73</f>
        <v>0</v>
      </c>
      <c r="H73" s="58"/>
    </row>
    <row r="74" spans="1:8" hidden="1" x14ac:dyDescent="0.25">
      <c r="A74" s="160" t="str">
        <f>Calculator!A81</f>
        <v>HBINSI38</v>
      </c>
      <c r="B74" s="179" t="str">
        <f>Calculator!B81</f>
        <v>3/8" IN-Sight Trim (2 pcs)</v>
      </c>
      <c r="C74" s="180"/>
      <c r="D74" s="181"/>
      <c r="E74" s="141">
        <f>Calculator!F81</f>
        <v>0</v>
      </c>
      <c r="F74" s="139">
        <f>Calculator!G81</f>
        <v>0</v>
      </c>
      <c r="G74" s="136">
        <f t="shared" si="2"/>
        <v>0</v>
      </c>
      <c r="H74" s="58"/>
    </row>
    <row r="75" spans="1:8" ht="15.75" hidden="1" thickBot="1" x14ac:dyDescent="0.3">
      <c r="B75"/>
      <c r="G75" s="67">
        <f>SUM(G47:G74)</f>
        <v>0</v>
      </c>
      <c r="H75" s="58"/>
    </row>
    <row r="76" spans="1:8" x14ac:dyDescent="0.25">
      <c r="B76"/>
      <c r="H76" s="58"/>
    </row>
    <row r="77" spans="1:8" x14ac:dyDescent="0.25">
      <c r="H77" s="58"/>
    </row>
    <row r="78" spans="1:8" x14ac:dyDescent="0.25">
      <c r="H78" s="58"/>
    </row>
    <row r="79" spans="1:8" x14ac:dyDescent="0.25">
      <c r="H79" s="58"/>
    </row>
    <row r="80" spans="1:8" x14ac:dyDescent="0.25">
      <c r="H80" s="58"/>
    </row>
    <row r="81" spans="1:9" x14ac:dyDescent="0.25">
      <c r="H81" s="58"/>
    </row>
    <row r="82" spans="1:9" x14ac:dyDescent="0.25">
      <c r="H82" s="58"/>
    </row>
    <row r="83" spans="1:9" x14ac:dyDescent="0.25">
      <c r="H83" s="58"/>
    </row>
    <row r="85" spans="1:9" ht="21" x14ac:dyDescent="0.35">
      <c r="A85" s="185" t="s">
        <v>122</v>
      </c>
      <c r="B85" s="185"/>
      <c r="C85" s="185"/>
      <c r="D85" s="185"/>
      <c r="E85" s="185"/>
      <c r="F85" s="185"/>
      <c r="G85" s="185"/>
      <c r="H85" s="185"/>
      <c r="I85" s="185"/>
    </row>
    <row r="86" spans="1:9" ht="21" x14ac:dyDescent="0.35">
      <c r="A86" s="185" t="str">
        <f>Values!D81</f>
        <v>Pricing matches price list effective 01/01/23</v>
      </c>
      <c r="B86" s="185"/>
      <c r="C86" s="185"/>
      <c r="D86" s="185"/>
      <c r="E86" s="185"/>
      <c r="F86" s="185"/>
      <c r="G86" s="185"/>
      <c r="H86" s="185"/>
      <c r="I86" s="185"/>
    </row>
    <row r="87" spans="1:9" x14ac:dyDescent="0.25">
      <c r="A87" s="209" t="s">
        <v>160</v>
      </c>
      <c r="B87" s="209"/>
      <c r="C87" s="209"/>
      <c r="D87" s="209"/>
      <c r="E87" s="209"/>
      <c r="F87" s="209"/>
      <c r="G87" s="209"/>
      <c r="H87" s="209"/>
      <c r="I87" s="209"/>
    </row>
    <row r="91" spans="1:9" x14ac:dyDescent="0.25">
      <c r="H91" s="162"/>
      <c r="I91" s="162"/>
    </row>
  </sheetData>
  <sheetProtection algorithmName="SHA-512" hashValue="WSLe7Op14UVO3GsCxVCEV8cG9K0550z+Dg1MhYDpuLnHAoYq2qM/V851fpRj1fngq6NY0rgPdACZbPbcCHEr9A==" saltValue="ckmlQcqe7q3fkI6+iq7ywA==" spinCount="100000" sheet="1" objects="1" scenarios="1" selectLockedCells="1"/>
  <mergeCells count="45">
    <mergeCell ref="A86:I86"/>
    <mergeCell ref="B10:C10"/>
    <mergeCell ref="B11:C11"/>
    <mergeCell ref="B46:D46"/>
    <mergeCell ref="A42:G42"/>
    <mergeCell ref="A43:G43"/>
    <mergeCell ref="B54:D54"/>
    <mergeCell ref="B57:D57"/>
    <mergeCell ref="B60:D60"/>
    <mergeCell ref="B56:D56"/>
    <mergeCell ref="B61:D61"/>
    <mergeCell ref="B62:D62"/>
    <mergeCell ref="B69:D69"/>
    <mergeCell ref="B65:D65"/>
    <mergeCell ref="B66:D66"/>
    <mergeCell ref="B52:D52"/>
    <mergeCell ref="B53:D53"/>
    <mergeCell ref="B55:D55"/>
    <mergeCell ref="E1:F1"/>
    <mergeCell ref="H1:I1"/>
    <mergeCell ref="D12:E12"/>
    <mergeCell ref="E2:F2"/>
    <mergeCell ref="H2:I2"/>
    <mergeCell ref="H12:I12"/>
    <mergeCell ref="B5:C5"/>
    <mergeCell ref="B6:C6"/>
    <mergeCell ref="B7:C7"/>
    <mergeCell ref="B8:C8"/>
    <mergeCell ref="B9:C9"/>
    <mergeCell ref="A87:I87"/>
    <mergeCell ref="B74:D74"/>
    <mergeCell ref="B71:D71"/>
    <mergeCell ref="B72:D72"/>
    <mergeCell ref="H36:I40"/>
    <mergeCell ref="A85:I85"/>
    <mergeCell ref="B51:D51"/>
    <mergeCell ref="B70:D70"/>
    <mergeCell ref="B47:D47"/>
    <mergeCell ref="B63:D63"/>
    <mergeCell ref="B64:D64"/>
    <mergeCell ref="B67:D67"/>
    <mergeCell ref="B68:D68"/>
    <mergeCell ref="B58:D58"/>
    <mergeCell ref="B59:D59"/>
    <mergeCell ref="B50:D50"/>
  </mergeCells>
  <conditionalFormatting sqref="B5">
    <cfRule type="expression" dxfId="30" priority="1">
      <formula>0</formula>
    </cfRule>
  </conditionalFormatting>
  <printOptions horizontalCentered="1"/>
  <pageMargins left="0.25" right="0.25" top="0.75" bottom="0.75" header="0.3" footer="0.3"/>
  <pageSetup scale="77" orientation="portrait" r:id="rId1"/>
  <headerFooter>
    <oddFooter>&amp;LRevised 12.15.22&amp;R&amp;F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F53"/>
  <sheetViews>
    <sheetView zoomScaleNormal="100" workbookViewId="0">
      <selection activeCell="B5" sqref="B5:C5"/>
    </sheetView>
  </sheetViews>
  <sheetFormatPr defaultColWidth="3" defaultRowHeight="15" customHeight="1" x14ac:dyDescent="0.25"/>
  <sheetData>
    <row r="1" spans="1:32" ht="15" customHeight="1" thickBot="1" x14ac:dyDescent="0.3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ht="15" customHeight="1" thickBot="1" x14ac:dyDescent="0.3">
      <c r="C2" s="1"/>
      <c r="D2" s="2"/>
      <c r="E2" s="2"/>
      <c r="F2" s="2"/>
      <c r="G2" s="226" t="s">
        <v>48</v>
      </c>
      <c r="H2" s="226"/>
      <c r="I2" s="226"/>
      <c r="J2" s="226"/>
      <c r="K2" s="2"/>
      <c r="L2" s="2"/>
      <c r="M2" s="2"/>
      <c r="N2" s="3"/>
      <c r="P2" s="4"/>
      <c r="Q2" s="226" t="s">
        <v>49</v>
      </c>
      <c r="R2" s="226"/>
      <c r="S2" s="226"/>
      <c r="T2" s="226"/>
      <c r="U2" s="5"/>
      <c r="W2" s="4"/>
      <c r="X2" s="2"/>
      <c r="Y2" s="226" t="s">
        <v>50</v>
      </c>
      <c r="Z2" s="226"/>
      <c r="AA2" s="226"/>
      <c r="AB2" s="226"/>
      <c r="AC2" s="2"/>
      <c r="AD2" s="5"/>
    </row>
    <row r="3" spans="1:32" ht="15" customHeight="1" thickBot="1" x14ac:dyDescent="0.3">
      <c r="C3" s="6"/>
      <c r="D3" s="1"/>
      <c r="E3" s="2"/>
      <c r="F3" s="2"/>
      <c r="G3" s="226" t="s">
        <v>51</v>
      </c>
      <c r="H3" s="226"/>
      <c r="I3" s="226"/>
      <c r="J3" s="226"/>
      <c r="K3" s="2"/>
      <c r="L3" s="2"/>
      <c r="M3" s="3"/>
      <c r="N3" s="7"/>
      <c r="P3" s="4"/>
      <c r="Q3" s="226" t="s">
        <v>52</v>
      </c>
      <c r="R3" s="226"/>
      <c r="S3" s="226"/>
      <c r="T3" s="226"/>
      <c r="U3" s="5"/>
      <c r="W3" s="4"/>
      <c r="X3" s="2"/>
      <c r="Y3" s="226" t="s">
        <v>53</v>
      </c>
      <c r="Z3" s="226"/>
      <c r="AA3" s="226"/>
      <c r="AB3" s="226"/>
      <c r="AC3" s="2"/>
      <c r="AD3" s="5"/>
    </row>
    <row r="4" spans="1:32" ht="15" customHeight="1" thickBot="1" x14ac:dyDescent="0.3">
      <c r="C4" s="6"/>
      <c r="D4" s="6"/>
      <c r="E4" s="1"/>
      <c r="F4" s="2"/>
      <c r="G4" s="226" t="s">
        <v>54</v>
      </c>
      <c r="H4" s="226"/>
      <c r="I4" s="226"/>
      <c r="J4" s="226"/>
      <c r="K4" s="2"/>
      <c r="L4" s="3"/>
      <c r="M4" s="7"/>
      <c r="N4" s="7"/>
      <c r="P4" s="1"/>
      <c r="Q4" s="227" t="s">
        <v>55</v>
      </c>
      <c r="R4" s="227"/>
      <c r="S4" s="227"/>
      <c r="T4" s="227"/>
      <c r="U4" s="3"/>
      <c r="W4" s="1"/>
      <c r="X4" s="8"/>
      <c r="Y4" s="227" t="s">
        <v>56</v>
      </c>
      <c r="Z4" s="227"/>
      <c r="AA4" s="227"/>
      <c r="AB4" s="227"/>
      <c r="AC4" s="8"/>
      <c r="AD4" s="3"/>
    </row>
    <row r="5" spans="1:32" ht="15" customHeight="1" x14ac:dyDescent="0.25">
      <c r="C5" s="6"/>
      <c r="D5" s="6"/>
      <c r="E5" s="6"/>
      <c r="F5" s="1"/>
      <c r="G5" s="227" t="s">
        <v>57</v>
      </c>
      <c r="H5" s="227"/>
      <c r="I5" s="227"/>
      <c r="J5" s="227"/>
      <c r="K5" s="3"/>
      <c r="L5" s="7"/>
      <c r="M5" s="7"/>
      <c r="N5" s="7"/>
      <c r="P5" s="9"/>
      <c r="Q5" s="10"/>
      <c r="R5" s="10"/>
      <c r="S5" s="10"/>
      <c r="T5" s="10"/>
      <c r="U5" s="11"/>
      <c r="W5" s="9"/>
      <c r="X5" s="10"/>
      <c r="Y5" s="10"/>
      <c r="Z5" s="10"/>
      <c r="AA5" s="10"/>
      <c r="AB5" s="10"/>
      <c r="AC5" s="10"/>
      <c r="AD5" s="11"/>
    </row>
    <row r="6" spans="1:32" ht="15" customHeight="1" x14ac:dyDescent="0.25">
      <c r="C6" s="6"/>
      <c r="D6" s="6"/>
      <c r="E6" s="6"/>
      <c r="F6" s="9"/>
      <c r="G6" s="10"/>
      <c r="H6" s="10"/>
      <c r="I6" s="10"/>
      <c r="J6" s="10"/>
      <c r="K6" s="11"/>
      <c r="L6" s="7"/>
      <c r="M6" s="7"/>
      <c r="N6" s="7"/>
      <c r="P6" s="9"/>
      <c r="Q6" s="10"/>
      <c r="R6" s="10"/>
      <c r="S6" s="10"/>
      <c r="T6" s="10"/>
      <c r="U6" s="11"/>
      <c r="W6" s="9"/>
      <c r="X6" s="10"/>
      <c r="Y6" s="10"/>
      <c r="Z6" s="10"/>
      <c r="AA6" s="10"/>
      <c r="AB6" s="10"/>
      <c r="AC6" s="10"/>
      <c r="AD6" s="11"/>
    </row>
    <row r="7" spans="1:32" ht="15" customHeight="1" x14ac:dyDescent="0.25">
      <c r="C7" s="6"/>
      <c r="D7" s="6"/>
      <c r="E7" s="6"/>
      <c r="F7" s="9"/>
      <c r="G7" s="10"/>
      <c r="H7" s="10"/>
      <c r="I7" s="10"/>
      <c r="J7" s="10"/>
      <c r="K7" s="11"/>
      <c r="L7" s="7"/>
      <c r="M7" s="7"/>
      <c r="N7" s="7"/>
      <c r="P7" s="9"/>
      <c r="Q7" s="10"/>
      <c r="R7" s="10"/>
      <c r="S7" s="10"/>
      <c r="T7" s="10"/>
      <c r="U7" s="11"/>
      <c r="W7" s="9"/>
      <c r="X7" s="10"/>
      <c r="Y7" s="10"/>
      <c r="Z7" s="10"/>
      <c r="AA7" s="10"/>
      <c r="AB7" s="10"/>
      <c r="AC7" s="10"/>
      <c r="AD7" s="11"/>
    </row>
    <row r="8" spans="1:32" ht="15" customHeight="1" x14ac:dyDescent="0.25">
      <c r="C8" s="6"/>
      <c r="D8" s="6"/>
      <c r="E8" s="6"/>
      <c r="F8" s="9"/>
      <c r="G8" s="10"/>
      <c r="H8" s="10"/>
      <c r="I8" s="10"/>
      <c r="J8" s="10"/>
      <c r="K8" s="11"/>
      <c r="L8" s="7"/>
      <c r="M8" s="7"/>
      <c r="N8" s="7"/>
      <c r="P8" s="9"/>
      <c r="Q8" s="10"/>
      <c r="R8" s="10"/>
      <c r="S8" s="10"/>
      <c r="T8" s="10"/>
      <c r="U8" s="11"/>
      <c r="W8" s="9"/>
      <c r="X8" s="10"/>
      <c r="Y8" s="10"/>
      <c r="Z8" s="10"/>
      <c r="AA8" s="10"/>
      <c r="AB8" s="10"/>
      <c r="AC8" s="10"/>
      <c r="AD8" s="11"/>
    </row>
    <row r="9" spans="1:32" ht="15" customHeight="1" x14ac:dyDescent="0.25">
      <c r="C9" s="6"/>
      <c r="D9" s="6"/>
      <c r="E9" s="6"/>
      <c r="F9" s="9"/>
      <c r="G9" s="10"/>
      <c r="H9" s="10"/>
      <c r="I9" s="10"/>
      <c r="J9" s="10"/>
      <c r="K9" s="11"/>
      <c r="L9" s="7"/>
      <c r="M9" s="7"/>
      <c r="N9" s="7"/>
      <c r="P9" s="9"/>
      <c r="Q9" s="10"/>
      <c r="R9" s="10"/>
      <c r="S9" s="10"/>
      <c r="T9" s="10"/>
      <c r="U9" s="11"/>
      <c r="W9" s="9"/>
      <c r="X9" s="10"/>
      <c r="Y9" s="10"/>
      <c r="Z9" s="10"/>
      <c r="AA9" s="10"/>
      <c r="AB9" s="10"/>
      <c r="AC9" s="10"/>
      <c r="AD9" s="11"/>
    </row>
    <row r="10" spans="1:32" ht="15" customHeight="1" thickBot="1" x14ac:dyDescent="0.3">
      <c r="C10" s="6"/>
      <c r="D10" s="6"/>
      <c r="E10" s="6"/>
      <c r="F10" s="12"/>
      <c r="G10" s="13"/>
      <c r="H10" s="13"/>
      <c r="I10" s="13"/>
      <c r="J10" s="13"/>
      <c r="K10" s="14"/>
      <c r="L10" s="7"/>
      <c r="M10" s="7"/>
      <c r="N10" s="7"/>
      <c r="P10" s="9"/>
      <c r="Q10" s="10"/>
      <c r="R10" s="10"/>
      <c r="S10" s="10"/>
      <c r="T10" s="10"/>
      <c r="U10" s="11"/>
      <c r="W10" s="9"/>
      <c r="X10" s="10"/>
      <c r="Y10" s="10"/>
      <c r="Z10" s="10"/>
      <c r="AA10" s="10"/>
      <c r="AB10" s="10"/>
      <c r="AC10" s="10"/>
      <c r="AD10" s="11"/>
    </row>
    <row r="11" spans="1:32" ht="15" customHeight="1" thickBot="1" x14ac:dyDescent="0.3">
      <c r="C11" s="6"/>
      <c r="D11" s="6"/>
      <c r="E11" s="12"/>
      <c r="F11" s="15"/>
      <c r="G11" s="15"/>
      <c r="H11" s="15"/>
      <c r="I11" s="15"/>
      <c r="J11" s="15"/>
      <c r="K11" s="15"/>
      <c r="L11" s="14"/>
      <c r="M11" s="7"/>
      <c r="N11" s="7"/>
      <c r="P11" s="12"/>
      <c r="Q11" s="13"/>
      <c r="R11" s="13"/>
      <c r="S11" s="13"/>
      <c r="T11" s="13"/>
      <c r="U11" s="14"/>
      <c r="W11" s="9"/>
      <c r="X11" s="10"/>
      <c r="Y11" s="10"/>
      <c r="Z11" s="10"/>
      <c r="AA11" s="10"/>
      <c r="AB11" s="10"/>
      <c r="AC11" s="10"/>
      <c r="AD11" s="11"/>
    </row>
    <row r="12" spans="1:32" ht="15" customHeight="1" thickBot="1" x14ac:dyDescent="0.3">
      <c r="C12" s="6"/>
      <c r="D12" s="12"/>
      <c r="E12" s="15"/>
      <c r="F12" s="15"/>
      <c r="G12" s="15"/>
      <c r="H12" s="15"/>
      <c r="I12" s="15"/>
      <c r="J12" s="15"/>
      <c r="K12" s="15"/>
      <c r="L12" s="15"/>
      <c r="M12" s="14"/>
      <c r="N12" s="7"/>
      <c r="P12" s="16"/>
      <c r="Q12" s="15"/>
      <c r="R12" s="15"/>
      <c r="S12" s="15"/>
      <c r="T12" s="15"/>
      <c r="U12" s="17"/>
      <c r="W12" s="9"/>
      <c r="X12" s="10"/>
      <c r="Y12" s="10"/>
      <c r="Z12" s="10"/>
      <c r="AA12" s="10"/>
      <c r="AB12" s="10"/>
      <c r="AC12" s="10"/>
      <c r="AD12" s="11"/>
    </row>
    <row r="13" spans="1:32" ht="15" customHeight="1" thickBot="1" x14ac:dyDescent="0.3"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P13" s="16"/>
      <c r="Q13" s="15"/>
      <c r="R13" s="15"/>
      <c r="S13" s="15"/>
      <c r="T13" s="15"/>
      <c r="U13" s="17"/>
      <c r="W13" s="12"/>
      <c r="X13" s="13"/>
      <c r="Y13" s="13"/>
      <c r="Z13" s="13"/>
      <c r="AA13" s="13"/>
      <c r="AB13" s="13"/>
      <c r="AC13" s="13"/>
      <c r="AD13" s="14"/>
    </row>
    <row r="14" spans="1:32" ht="15" customHeight="1" thickBot="1" x14ac:dyDescent="0.3">
      <c r="W14" s="16"/>
      <c r="X14" s="15"/>
      <c r="Y14" s="15"/>
      <c r="Z14" s="15"/>
      <c r="AA14" s="15"/>
      <c r="AB14" s="15"/>
      <c r="AC14" s="15"/>
      <c r="AD14" s="17"/>
    </row>
    <row r="15" spans="1:32" ht="15" customHeight="1" thickBot="1" x14ac:dyDescent="0.3">
      <c r="C15" s="18"/>
      <c r="D15" s="19"/>
      <c r="E15" s="20"/>
      <c r="F15" s="20"/>
      <c r="G15" s="20"/>
      <c r="H15" s="228" t="s">
        <v>58</v>
      </c>
      <c r="I15" s="228"/>
      <c r="J15" s="228"/>
      <c r="K15" s="228"/>
      <c r="L15" s="20"/>
      <c r="M15" s="20"/>
      <c r="N15" s="20"/>
      <c r="O15" s="21"/>
      <c r="P15" s="22"/>
      <c r="W15" s="16"/>
      <c r="X15" s="15"/>
      <c r="Y15" s="15"/>
      <c r="Z15" s="15"/>
      <c r="AA15" s="15"/>
      <c r="AB15" s="15"/>
      <c r="AC15" s="15"/>
      <c r="AD15" s="17"/>
    </row>
    <row r="16" spans="1:32" ht="15" customHeight="1" x14ac:dyDescent="0.25"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7"/>
    </row>
    <row r="17" spans="2:30" ht="15" customHeight="1" x14ac:dyDescent="0.25"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29" t="s">
        <v>59</v>
      </c>
    </row>
    <row r="18" spans="2:30" ht="15" customHeight="1" thickBot="1" x14ac:dyDescent="0.3"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29"/>
    </row>
    <row r="19" spans="2:30" ht="15" customHeight="1" x14ac:dyDescent="0.25"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29"/>
      <c r="S19" s="1"/>
      <c r="T19" s="8"/>
      <c r="U19" s="227" t="s">
        <v>60</v>
      </c>
      <c r="V19" s="227"/>
      <c r="W19" s="227"/>
      <c r="X19" s="227"/>
      <c r="Y19" s="227"/>
      <c r="Z19" s="227"/>
      <c r="AA19" s="227"/>
      <c r="AB19" s="227"/>
      <c r="AC19" s="8"/>
      <c r="AD19" s="3"/>
    </row>
    <row r="20" spans="2:30" ht="15" customHeight="1" x14ac:dyDescent="0.25">
      <c r="C20" s="2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29"/>
      <c r="S20" s="9"/>
      <c r="T20" s="10"/>
      <c r="U20" s="10"/>
      <c r="V20" s="230" t="s">
        <v>135</v>
      </c>
      <c r="W20" s="230"/>
      <c r="X20" s="230"/>
      <c r="Y20" s="230"/>
      <c r="Z20" s="230"/>
      <c r="AA20" s="230"/>
      <c r="AB20" s="10"/>
      <c r="AC20" s="10"/>
      <c r="AD20" s="11"/>
    </row>
    <row r="21" spans="2:30" ht="15" customHeight="1" x14ac:dyDescent="0.25"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29"/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/>
    </row>
    <row r="22" spans="2:30" ht="15" customHeight="1" x14ac:dyDescent="0.25">
      <c r="C22" s="2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29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2:30" ht="15" customHeight="1" x14ac:dyDescent="0.25"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7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</row>
    <row r="24" spans="2:30" ht="15" customHeight="1" thickBot="1" x14ac:dyDescent="0.3">
      <c r="C24" s="28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/>
    </row>
    <row r="25" spans="2:30" ht="15" customHeight="1" thickBot="1" x14ac:dyDescent="0.3"/>
    <row r="26" spans="2:30" ht="15" customHeight="1" x14ac:dyDescent="0.25">
      <c r="B26" s="19"/>
      <c r="C26" s="20"/>
      <c r="D26" s="221" t="s">
        <v>136</v>
      </c>
      <c r="E26" s="222"/>
      <c r="F26" s="222"/>
      <c r="G26" s="223"/>
      <c r="H26" s="20"/>
      <c r="I26" s="21"/>
      <c r="N26" s="19"/>
      <c r="O26" s="221" t="s">
        <v>138</v>
      </c>
      <c r="P26" s="222"/>
      <c r="Q26" s="222"/>
      <c r="R26" s="223"/>
      <c r="S26" s="21"/>
      <c r="V26" t="s">
        <v>139</v>
      </c>
    </row>
    <row r="27" spans="2:30" ht="15" customHeight="1" x14ac:dyDescent="0.25">
      <c r="B27" s="24"/>
      <c r="C27" s="25"/>
      <c r="D27" s="25"/>
      <c r="E27" s="25"/>
      <c r="F27" s="25"/>
      <c r="G27" s="25"/>
      <c r="H27" s="25"/>
      <c r="I27" s="26"/>
      <c r="N27" s="24"/>
      <c r="O27" s="25"/>
      <c r="P27" s="25"/>
      <c r="Q27" s="25"/>
      <c r="R27" s="25"/>
      <c r="S27" s="26"/>
      <c r="W27" t="s">
        <v>140</v>
      </c>
    </row>
    <row r="28" spans="2:30" ht="15" customHeight="1" x14ac:dyDescent="0.25">
      <c r="B28" s="24"/>
      <c r="C28" s="25"/>
      <c r="D28" s="25"/>
      <c r="E28" s="25"/>
      <c r="F28" s="25"/>
      <c r="G28" s="25"/>
      <c r="H28" s="25"/>
      <c r="I28" s="26"/>
      <c r="N28" s="24"/>
      <c r="O28" s="25"/>
      <c r="P28" s="25"/>
      <c r="Q28" s="25"/>
      <c r="R28" s="25"/>
      <c r="S28" s="26"/>
      <c r="W28" t="s">
        <v>141</v>
      </c>
    </row>
    <row r="29" spans="2:30" ht="15" customHeight="1" thickBot="1" x14ac:dyDescent="0.3">
      <c r="B29" s="29"/>
      <c r="C29" s="30"/>
      <c r="D29" s="30"/>
      <c r="E29" s="30"/>
      <c r="F29" s="30"/>
      <c r="G29" s="30"/>
      <c r="H29" s="30"/>
      <c r="I29" s="31"/>
      <c r="N29" s="29"/>
      <c r="O29" s="30"/>
      <c r="P29" s="25"/>
      <c r="Q29" s="25"/>
      <c r="R29" s="25"/>
      <c r="S29" s="26"/>
    </row>
    <row r="30" spans="2:30" ht="15" customHeight="1" thickBot="1" x14ac:dyDescent="0.3">
      <c r="P30" s="24"/>
      <c r="Q30" s="25"/>
      <c r="R30" s="25"/>
      <c r="S30" s="26"/>
      <c r="V30" t="s">
        <v>165</v>
      </c>
    </row>
    <row r="31" spans="2:30" ht="15" customHeight="1" thickBot="1" x14ac:dyDescent="0.3">
      <c r="B31" s="19"/>
      <c r="C31" s="20"/>
      <c r="D31" s="20"/>
      <c r="E31" s="20"/>
      <c r="F31" s="221" t="s">
        <v>137</v>
      </c>
      <c r="G31" s="222"/>
      <c r="H31" s="222"/>
      <c r="I31" s="223"/>
      <c r="J31" s="20"/>
      <c r="K31" s="20"/>
      <c r="L31" s="20"/>
      <c r="M31" s="21"/>
      <c r="P31" s="29"/>
      <c r="Q31" s="30"/>
      <c r="R31" s="30"/>
      <c r="S31" s="31"/>
      <c r="V31" t="s">
        <v>142</v>
      </c>
    </row>
    <row r="32" spans="2:30" ht="15" customHeight="1" thickBot="1" x14ac:dyDescent="0.3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</row>
    <row r="34" spans="2:31" ht="15" customHeight="1" x14ac:dyDescent="0.25">
      <c r="M34" s="224" t="s">
        <v>61</v>
      </c>
      <c r="N34" s="225"/>
      <c r="O34" s="225"/>
      <c r="P34" s="225"/>
      <c r="Q34" s="225"/>
      <c r="R34" s="225"/>
      <c r="S34" s="225"/>
      <c r="T34" s="225"/>
    </row>
    <row r="35" spans="2:31" ht="1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2:31" ht="15" customHeight="1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2:31" ht="15" customHeight="1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2:31" ht="15" customHeigh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31" ht="15" customHeight="1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2:31" ht="15" customHeight="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ht="15" customHeight="1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2:31" ht="15" customHeight="1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31" ht="15" customHeight="1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2:31" ht="15" customHeight="1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31" ht="15" customHeight="1" x14ac:dyDescent="0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2:31" ht="15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2:31" ht="15" customHeight="1" x14ac:dyDescent="0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2:31" ht="15" customHeight="1" x14ac:dyDescent="0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2:31" ht="15" customHeight="1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2:31" ht="15" customHeight="1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31" ht="15" customHeight="1" x14ac:dyDescent="0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2:31" ht="15" customHeight="1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31" ht="15" customHeight="1" x14ac:dyDescent="0.25">
      <c r="N53" s="43"/>
      <c r="S53" s="43"/>
    </row>
  </sheetData>
  <sheetProtection password="ED39" sheet="1" objects="1" scenarios="1"/>
  <mergeCells count="19">
    <mergeCell ref="A1:AF1"/>
    <mergeCell ref="G2:J2"/>
    <mergeCell ref="Q2:T2"/>
    <mergeCell ref="Y2:AB2"/>
    <mergeCell ref="G3:J3"/>
    <mergeCell ref="Q3:T3"/>
    <mergeCell ref="Y3:AB3"/>
    <mergeCell ref="Y4:AB4"/>
    <mergeCell ref="G5:J5"/>
    <mergeCell ref="H15:K15"/>
    <mergeCell ref="P17:P22"/>
    <mergeCell ref="U19:AB19"/>
    <mergeCell ref="V20:AA20"/>
    <mergeCell ref="D26:G26"/>
    <mergeCell ref="F31:I31"/>
    <mergeCell ref="O26:R26"/>
    <mergeCell ref="M34:T34"/>
    <mergeCell ref="G4:J4"/>
    <mergeCell ref="Q4:T4"/>
  </mergeCells>
  <pageMargins left="0.25" right="0.25" top="0.75" bottom="0.75" header="0.3" footer="0.3"/>
  <pageSetup scale="83" orientation="portrait" r:id="rId1"/>
  <headerFooter>
    <oddFooter>&amp;LRevised 01.20.16&amp;R&amp;F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G57"/>
  <sheetViews>
    <sheetView zoomScale="80" zoomScaleNormal="80" zoomScaleSheetLayoutView="75" zoomScalePageLayoutView="150" workbookViewId="0">
      <selection activeCell="E1" sqref="E1:F1"/>
    </sheetView>
  </sheetViews>
  <sheetFormatPr defaultColWidth="7.5703125" defaultRowHeight="12.75" x14ac:dyDescent="0.25"/>
  <cols>
    <col min="1" max="1" width="23.5703125" style="107" customWidth="1"/>
    <col min="2" max="2" width="50.42578125" style="107" customWidth="1"/>
    <col min="3" max="3" width="20.140625" style="107" customWidth="1"/>
    <col min="4" max="4" width="15.85546875" style="107" customWidth="1"/>
    <col min="5" max="5" width="14.42578125" style="107" customWidth="1"/>
    <col min="6" max="6" width="18.42578125" style="110" customWidth="1"/>
    <col min="7" max="7" width="1.85546875" style="107" customWidth="1"/>
    <col min="8" max="16384" width="7.5703125" style="107"/>
  </cols>
  <sheetData>
    <row r="1" spans="1:7" ht="20.100000000000001" customHeight="1" x14ac:dyDescent="0.25">
      <c r="A1" s="241"/>
      <c r="B1" s="241"/>
      <c r="C1" s="126"/>
      <c r="D1" s="127" t="s">
        <v>131</v>
      </c>
      <c r="E1" s="231"/>
      <c r="F1" s="231"/>
    </row>
    <row r="2" spans="1:7" ht="20.100000000000001" customHeight="1" x14ac:dyDescent="0.25">
      <c r="A2" s="241"/>
      <c r="B2" s="241"/>
      <c r="C2" s="126"/>
      <c r="D2" s="127" t="s">
        <v>213</v>
      </c>
      <c r="E2" s="244" t="str">
        <f>IF(Calculator!F5=0," ",Calculator!F5)</f>
        <v xml:space="preserve"> </v>
      </c>
      <c r="F2" s="244"/>
    </row>
    <row r="3" spans="1:7" ht="20.100000000000001" customHeight="1" x14ac:dyDescent="0.25">
      <c r="A3" s="241"/>
      <c r="B3" s="241"/>
      <c r="C3" s="126"/>
      <c r="D3" s="127" t="s">
        <v>214</v>
      </c>
      <c r="E3" s="244" t="str">
        <f>IF(Calculator!F6=0," ",Calculator!F6)</f>
        <v xml:space="preserve"> </v>
      </c>
      <c r="F3" s="244"/>
    </row>
    <row r="4" spans="1:7" ht="20.100000000000001" customHeight="1" x14ac:dyDescent="0.25">
      <c r="A4" s="241"/>
      <c r="B4" s="241"/>
      <c r="C4" s="126"/>
      <c r="D4" s="127" t="s">
        <v>132</v>
      </c>
      <c r="E4" s="231"/>
      <c r="F4" s="231"/>
    </row>
    <row r="5" spans="1:7" ht="20.100000000000001" customHeight="1" x14ac:dyDescent="0.25">
      <c r="A5" s="128"/>
      <c r="B5" s="128"/>
      <c r="C5" s="126"/>
      <c r="D5" s="127" t="s">
        <v>133</v>
      </c>
      <c r="E5" s="231"/>
      <c r="F5" s="231"/>
    </row>
    <row r="6" spans="1:7" ht="20.100000000000001" customHeight="1" x14ac:dyDescent="0.25">
      <c r="A6" s="128"/>
      <c r="B6" s="128"/>
      <c r="C6" s="126"/>
      <c r="D6" s="126"/>
      <c r="E6" s="126"/>
      <c r="F6" s="129"/>
    </row>
    <row r="7" spans="1:7" ht="15" x14ac:dyDescent="0.25">
      <c r="A7" s="127" t="s">
        <v>127</v>
      </c>
      <c r="B7" s="126"/>
      <c r="C7" s="127" t="s">
        <v>126</v>
      </c>
      <c r="D7" s="126"/>
      <c r="E7" s="126"/>
      <c r="F7" s="130"/>
    </row>
    <row r="8" spans="1:7" s="109" customFormat="1" ht="20.100000000000001" customHeight="1" x14ac:dyDescent="0.25">
      <c r="A8" s="131" t="s">
        <v>143</v>
      </c>
      <c r="B8" s="105" t="str">
        <f>IF(Calculator!B5=0," ",Calculator!B5)</f>
        <v xml:space="preserve"> </v>
      </c>
      <c r="C8" s="131" t="s">
        <v>145</v>
      </c>
      <c r="D8" s="249"/>
      <c r="E8" s="249"/>
      <c r="F8" s="249"/>
    </row>
    <row r="9" spans="1:7" s="109" customFormat="1" ht="20.100000000000001" customHeight="1" x14ac:dyDescent="0.25">
      <c r="A9" s="131" t="s">
        <v>156</v>
      </c>
      <c r="B9" s="105" t="str">
        <f>IF(Calculator!B6=0," ",Calculator!B6)</f>
        <v xml:space="preserve"> </v>
      </c>
      <c r="C9" s="131" t="s">
        <v>156</v>
      </c>
      <c r="D9" s="245"/>
      <c r="E9" s="245"/>
      <c r="F9" s="245"/>
    </row>
    <row r="10" spans="1:7" s="109" customFormat="1" ht="20.100000000000001" customHeight="1" x14ac:dyDescent="0.25">
      <c r="A10" s="131" t="s">
        <v>144</v>
      </c>
      <c r="B10" s="105" t="str">
        <f>IF(Calculator!B7=0," ",Calculator!B7)</f>
        <v xml:space="preserve"> </v>
      </c>
      <c r="C10" s="132" t="s">
        <v>144</v>
      </c>
      <c r="D10" s="245"/>
      <c r="E10" s="245"/>
      <c r="F10" s="245"/>
      <c r="G10" s="111"/>
    </row>
    <row r="11" spans="1:7" s="109" customFormat="1" ht="20.100000000000001" customHeight="1" x14ac:dyDescent="0.25">
      <c r="A11" s="131"/>
      <c r="B11" s="105" t="str">
        <f>IF(Calculator!B8=0," ",Calculator!B8)</f>
        <v xml:space="preserve"> </v>
      </c>
      <c r="C11" s="132"/>
      <c r="D11" s="245"/>
      <c r="E11" s="245"/>
      <c r="F11" s="245"/>
      <c r="G11" s="111"/>
    </row>
    <row r="12" spans="1:7" s="109" customFormat="1" ht="20.100000000000001" customHeight="1" x14ac:dyDescent="0.25">
      <c r="A12" s="131" t="s">
        <v>129</v>
      </c>
      <c r="B12" s="106" t="str">
        <f>IF(Calculator!B9=0," ",Calculator!B9)</f>
        <v xml:space="preserve"> </v>
      </c>
      <c r="C12" s="131" t="s">
        <v>129</v>
      </c>
      <c r="D12" s="246"/>
      <c r="E12" s="246"/>
      <c r="F12" s="246"/>
    </row>
    <row r="13" spans="1:7" s="109" customFormat="1" ht="20.100000000000001" customHeight="1" x14ac:dyDescent="0.25">
      <c r="A13" s="131" t="s">
        <v>130</v>
      </c>
      <c r="B13" s="106" t="str">
        <f>IF(Calculator!B10=0," ",Calculator!B10)</f>
        <v xml:space="preserve"> </v>
      </c>
      <c r="C13" s="131" t="s">
        <v>130</v>
      </c>
      <c r="D13" s="246"/>
      <c r="E13" s="246"/>
      <c r="F13" s="246"/>
    </row>
    <row r="14" spans="1:7" s="109" customFormat="1" ht="20.100000000000001" customHeight="1" x14ac:dyDescent="0.25">
      <c r="A14" s="131" t="s">
        <v>128</v>
      </c>
      <c r="B14" s="104" t="str">
        <f>IF(Calculator!B11=0," ",Calculator!B11)</f>
        <v xml:space="preserve"> </v>
      </c>
      <c r="C14" s="131" t="s">
        <v>128</v>
      </c>
      <c r="D14" s="247"/>
      <c r="E14" s="247"/>
      <c r="F14" s="247"/>
    </row>
    <row r="15" spans="1:7" s="109" customFormat="1" ht="20.100000000000001" customHeight="1" x14ac:dyDescent="0.25">
      <c r="A15" s="112"/>
      <c r="B15" s="112"/>
      <c r="C15" s="112"/>
      <c r="D15" s="248"/>
      <c r="E15" s="248"/>
      <c r="F15" s="248"/>
    </row>
    <row r="16" spans="1:7" ht="20.100000000000001" customHeight="1" thickBot="1" x14ac:dyDescent="0.3">
      <c r="A16" s="108"/>
      <c r="B16" s="108"/>
      <c r="C16" s="113"/>
      <c r="D16" s="113"/>
      <c r="E16" s="113"/>
      <c r="F16" s="113"/>
    </row>
    <row r="17" spans="1:6" ht="20.100000000000001" customHeight="1" thickBot="1" x14ac:dyDescent="0.3">
      <c r="A17" s="114" t="s">
        <v>123</v>
      </c>
      <c r="B17" s="242" t="s">
        <v>63</v>
      </c>
      <c r="C17" s="243"/>
      <c r="D17" s="114" t="s">
        <v>124</v>
      </c>
      <c r="E17" s="115" t="s">
        <v>70</v>
      </c>
      <c r="F17" s="114" t="s">
        <v>71</v>
      </c>
    </row>
    <row r="18" spans="1:6" ht="20.100000000000001" customHeight="1" x14ac:dyDescent="0.25">
      <c r="A18" s="116" t="str">
        <f>Calculator!A54</f>
        <v>HBWB366012</v>
      </c>
      <c r="B18" s="234" t="str">
        <f>Calculator!B54</f>
        <v>36" x 60" x ½" Board</v>
      </c>
      <c r="C18" s="235"/>
      <c r="D18" s="117">
        <f>Calculator!G54</f>
        <v>0</v>
      </c>
      <c r="E18" s="118">
        <f>Calculator!F54</f>
        <v>0</v>
      </c>
      <c r="F18" s="119">
        <f>D18*E18</f>
        <v>0</v>
      </c>
    </row>
    <row r="19" spans="1:6" ht="20.100000000000001" customHeight="1" x14ac:dyDescent="0.25">
      <c r="A19" s="116" t="str">
        <f>Calculator!A55</f>
        <v>HBWB366058</v>
      </c>
      <c r="B19" s="234" t="str">
        <f>Calculator!B55</f>
        <v>36" x 60" x ⅝" Board</v>
      </c>
      <c r="C19" s="235"/>
      <c r="D19" s="117">
        <f>Calculator!G55</f>
        <v>0</v>
      </c>
      <c r="E19" s="118">
        <f>Calculator!F55</f>
        <v>0</v>
      </c>
      <c r="F19" s="119">
        <f t="shared" ref="F19:F20" si="0">D19*E19</f>
        <v>0</v>
      </c>
    </row>
    <row r="20" spans="1:6" ht="20.100000000000001" customHeight="1" x14ac:dyDescent="0.25">
      <c r="A20" s="116" t="str">
        <f>Calculator!A56</f>
        <v>HBWB486412</v>
      </c>
      <c r="B20" s="234" t="str">
        <f>Calculator!B56</f>
        <v>48" x 64" x ½" Board</v>
      </c>
      <c r="C20" s="235"/>
      <c r="D20" s="117">
        <f>Calculator!G56</f>
        <v>0</v>
      </c>
      <c r="E20" s="118">
        <f>Calculator!F56</f>
        <v>0</v>
      </c>
      <c r="F20" s="119">
        <f t="shared" si="0"/>
        <v>0</v>
      </c>
    </row>
    <row r="21" spans="1:6" ht="20.100000000000001" customHeight="1" x14ac:dyDescent="0.25">
      <c r="A21" s="120">
        <f>Calculator!A57</f>
        <v>0</v>
      </c>
      <c r="B21" s="232">
        <f>Calculator!B57</f>
        <v>0</v>
      </c>
      <c r="C21" s="233"/>
      <c r="D21" s="121">
        <f>Calculator!G57</f>
        <v>0</v>
      </c>
      <c r="E21" s="122">
        <f>Calculator!F57</f>
        <v>0</v>
      </c>
      <c r="F21" s="123">
        <f>D21*E21</f>
        <v>0</v>
      </c>
    </row>
    <row r="22" spans="1:6" ht="20.100000000000001" customHeight="1" x14ac:dyDescent="0.25">
      <c r="A22" s="120">
        <f>Calculator!A58</f>
        <v>0</v>
      </c>
      <c r="B22" s="232">
        <f>Calculator!B58</f>
        <v>0</v>
      </c>
      <c r="C22" s="233"/>
      <c r="D22" s="121">
        <f>Calculator!G58</f>
        <v>0</v>
      </c>
      <c r="E22" s="122">
        <f>Calculator!F58</f>
        <v>0</v>
      </c>
      <c r="F22" s="123">
        <f>D22*E22</f>
        <v>0</v>
      </c>
    </row>
    <row r="23" spans="1:6" ht="20.100000000000001" customHeight="1" x14ac:dyDescent="0.25">
      <c r="A23" s="120">
        <f>Calculator!A59</f>
        <v>0</v>
      </c>
      <c r="B23" s="232">
        <f>Calculator!B59</f>
        <v>0</v>
      </c>
      <c r="C23" s="233"/>
      <c r="D23" s="121">
        <f>Calculator!G59</f>
        <v>0</v>
      </c>
      <c r="E23" s="122">
        <f>Calculator!F59</f>
        <v>0</v>
      </c>
      <c r="F23" s="123">
        <f t="shared" ref="F23:F29" si="1">D23*E23</f>
        <v>0</v>
      </c>
    </row>
    <row r="24" spans="1:6" ht="20.100000000000001" customHeight="1" x14ac:dyDescent="0.25">
      <c r="A24" s="120">
        <f>Calculator!A60</f>
        <v>0</v>
      </c>
      <c r="B24" s="232">
        <f>Calculator!B60</f>
        <v>0</v>
      </c>
      <c r="C24" s="233"/>
      <c r="D24" s="121">
        <f>Calculator!G60</f>
        <v>0</v>
      </c>
      <c r="E24" s="122">
        <f>Calculator!F60</f>
        <v>0</v>
      </c>
      <c r="F24" s="123">
        <f t="shared" si="1"/>
        <v>0</v>
      </c>
    </row>
    <row r="25" spans="1:6" ht="20.100000000000001" customHeight="1" x14ac:dyDescent="0.25">
      <c r="A25" s="120" t="str">
        <f>Calculator!A61</f>
        <v>HBLD73</v>
      </c>
      <c r="B25" s="232" t="str">
        <f>Calculator!B61</f>
        <v>73½" Line Drain Kit</v>
      </c>
      <c r="C25" s="233"/>
      <c r="D25" s="121">
        <f>Calculator!G61</f>
        <v>0</v>
      </c>
      <c r="E25" s="122">
        <f>Calculator!F61</f>
        <v>0</v>
      </c>
      <c r="F25" s="123">
        <f t="shared" si="1"/>
        <v>0</v>
      </c>
    </row>
    <row r="26" spans="1:6" ht="20.100000000000001" customHeight="1" x14ac:dyDescent="0.25">
      <c r="A26" s="120" t="str">
        <f>Calculator!A62</f>
        <v>HBJSCART</v>
      </c>
      <c r="B26" s="232" t="str">
        <f>Calculator!B62</f>
        <v>Joint Sealant Cartridge 10 oz</v>
      </c>
      <c r="C26" s="233"/>
      <c r="D26" s="121">
        <f>Calculator!G62</f>
        <v>0</v>
      </c>
      <c r="E26" s="122">
        <f>Calculator!F62</f>
        <v>0</v>
      </c>
      <c r="F26" s="123">
        <f t="shared" si="1"/>
        <v>0</v>
      </c>
    </row>
    <row r="27" spans="1:6" ht="20.100000000000001" customHeight="1" x14ac:dyDescent="0.25">
      <c r="A27" s="120" t="str">
        <f>Calculator!A63</f>
        <v>HBSCREWWASHER100</v>
      </c>
      <c r="B27" s="232" t="str">
        <f>Calculator!B63</f>
        <v>Screws &amp; Washers (Box of 100)</v>
      </c>
      <c r="C27" s="233"/>
      <c r="D27" s="121">
        <f>Calculator!G63</f>
        <v>0</v>
      </c>
      <c r="E27" s="122">
        <f>Calculator!F63</f>
        <v>0</v>
      </c>
      <c r="F27" s="123">
        <f t="shared" si="1"/>
        <v>0</v>
      </c>
    </row>
    <row r="28" spans="1:6" ht="20.100000000000001" customHeight="1" x14ac:dyDescent="0.25">
      <c r="A28" s="120">
        <f>Calculator!A64</f>
        <v>0</v>
      </c>
      <c r="B28" s="232">
        <f>Calculator!B64</f>
        <v>0</v>
      </c>
      <c r="C28" s="233"/>
      <c r="D28" s="121">
        <f>Calculator!G64</f>
        <v>0</v>
      </c>
      <c r="E28" s="122">
        <f>Calculator!F64</f>
        <v>0</v>
      </c>
      <c r="F28" s="123">
        <f t="shared" si="1"/>
        <v>0</v>
      </c>
    </row>
    <row r="29" spans="1:6" ht="20.100000000000001" customHeight="1" x14ac:dyDescent="0.25">
      <c r="A29" s="120">
        <f>Calculator!A65</f>
        <v>0</v>
      </c>
      <c r="B29" s="232">
        <f>Calculator!B65</f>
        <v>0</v>
      </c>
      <c r="C29" s="233"/>
      <c r="D29" s="121">
        <f>Calculator!G65</f>
        <v>0</v>
      </c>
      <c r="E29" s="122">
        <f>Calculator!F65</f>
        <v>0</v>
      </c>
      <c r="F29" s="123">
        <f t="shared" si="1"/>
        <v>0</v>
      </c>
    </row>
    <row r="30" spans="1:6" ht="20.100000000000001" customHeight="1" x14ac:dyDescent="0.25">
      <c r="A30" s="120">
        <f>Calculator!A66</f>
        <v>0</v>
      </c>
      <c r="B30" s="232">
        <f>Calculator!B66</f>
        <v>0</v>
      </c>
      <c r="C30" s="233"/>
      <c r="D30" s="121">
        <f>Calculator!G66</f>
        <v>0</v>
      </c>
      <c r="E30" s="122">
        <f>Calculator!F66</f>
        <v>0</v>
      </c>
      <c r="F30" s="123">
        <f t="shared" ref="F30:F33" si="2">D30*E30</f>
        <v>0</v>
      </c>
    </row>
    <row r="31" spans="1:6" ht="20.100000000000001" customHeight="1" x14ac:dyDescent="0.25">
      <c r="A31" s="120">
        <f>Calculator!A67</f>
        <v>0</v>
      </c>
      <c r="B31" s="232">
        <f>Calculator!B67</f>
        <v>0</v>
      </c>
      <c r="C31" s="233"/>
      <c r="D31" s="121">
        <f>Calculator!G67</f>
        <v>0</v>
      </c>
      <c r="E31" s="122">
        <f>Calculator!F67</f>
        <v>0</v>
      </c>
      <c r="F31" s="123">
        <f t="shared" si="2"/>
        <v>0</v>
      </c>
    </row>
    <row r="32" spans="1:6" ht="20.100000000000001" customHeight="1" x14ac:dyDescent="0.25">
      <c r="A32" s="120">
        <f>Calculator!A68</f>
        <v>0</v>
      </c>
      <c r="B32" s="232">
        <f>Calculator!B68</f>
        <v>0</v>
      </c>
      <c r="C32" s="233"/>
      <c r="D32" s="121">
        <f>Calculator!G68</f>
        <v>0</v>
      </c>
      <c r="E32" s="122">
        <f>Calculator!F68</f>
        <v>0</v>
      </c>
      <c r="F32" s="123">
        <f t="shared" si="2"/>
        <v>0</v>
      </c>
    </row>
    <row r="33" spans="1:6" ht="20.100000000000001" customHeight="1" x14ac:dyDescent="0.25">
      <c r="A33" s="120" t="str">
        <f>Calculator!A69</f>
        <v>HBDSC</v>
      </c>
      <c r="B33" s="232" t="str">
        <f>Calculator!B69</f>
        <v>Diamond Shampoo Caddy</v>
      </c>
      <c r="C33" s="233"/>
      <c r="D33" s="121">
        <f>Calculator!G69</f>
        <v>0</v>
      </c>
      <c r="E33" s="122">
        <f>Calculator!F69</f>
        <v>0</v>
      </c>
      <c r="F33" s="123">
        <f t="shared" si="2"/>
        <v>0</v>
      </c>
    </row>
    <row r="34" spans="1:6" ht="20.100000000000001" customHeight="1" x14ac:dyDescent="0.25">
      <c r="A34" s="120" t="str">
        <f>Calculator!A70</f>
        <v>HBWB366014</v>
      </c>
      <c r="B34" s="232" t="str">
        <f>Calculator!B70</f>
        <v>36" x 60" x ¼" Board</v>
      </c>
      <c r="C34" s="233"/>
      <c r="D34" s="121">
        <f>Calculator!G70</f>
        <v>0</v>
      </c>
      <c r="E34" s="122">
        <f>Calculator!F70</f>
        <v>0</v>
      </c>
      <c r="F34" s="123">
        <f t="shared" ref="F34:F40" si="3">D34*E34</f>
        <v>0</v>
      </c>
    </row>
    <row r="35" spans="1:6" ht="20.100000000000001" customHeight="1" x14ac:dyDescent="0.25">
      <c r="A35" s="120" t="str">
        <f>Calculator!A71</f>
        <v>HBWB3648112</v>
      </c>
      <c r="B35" s="232" t="str">
        <f>Calculator!B71</f>
        <v>36" x 48" x 1½" Board</v>
      </c>
      <c r="C35" s="233"/>
      <c r="D35" s="121">
        <f>Calculator!G71</f>
        <v>0</v>
      </c>
      <c r="E35" s="122">
        <f>Calculator!F71</f>
        <v>0</v>
      </c>
      <c r="F35" s="123">
        <f t="shared" si="3"/>
        <v>0</v>
      </c>
    </row>
    <row r="36" spans="1:6" ht="20.100000000000001" customHeight="1" x14ac:dyDescent="0.25">
      <c r="A36" s="120" t="str">
        <f>Calculator!A72</f>
        <v>HBWB48602</v>
      </c>
      <c r="B36" s="232" t="str">
        <f>Calculator!B72</f>
        <v>48" x 60" x 2" Board</v>
      </c>
      <c r="C36" s="233"/>
      <c r="D36" s="121">
        <f>Calculator!G72</f>
        <v>0</v>
      </c>
      <c r="E36" s="122">
        <f>Calculator!F72</f>
        <v>0</v>
      </c>
      <c r="F36" s="123">
        <f t="shared" ref="F36:F37" si="4">D36*E36</f>
        <v>0</v>
      </c>
    </row>
    <row r="37" spans="1:6" ht="20.100000000000001" customHeight="1" x14ac:dyDescent="0.25">
      <c r="A37" s="120" t="str">
        <f>Calculator!A73</f>
        <v>HBWB44962</v>
      </c>
      <c r="B37" s="232" t="str">
        <f>Calculator!B73</f>
        <v>44" x 96" x 2" Board</v>
      </c>
      <c r="C37" s="233"/>
      <c r="D37" s="121">
        <f>Calculator!G73</f>
        <v>0</v>
      </c>
      <c r="E37" s="122">
        <f>Calculator!F73</f>
        <v>0</v>
      </c>
      <c r="F37" s="123">
        <f t="shared" si="4"/>
        <v>0</v>
      </c>
    </row>
    <row r="38" spans="1:6" ht="20.100000000000001" customHeight="1" x14ac:dyDescent="0.25">
      <c r="A38" s="120" t="str">
        <f>Calculator!A74</f>
        <v>HBSCREW1000</v>
      </c>
      <c r="B38" s="232" t="str">
        <f>Calculator!B74</f>
        <v>Screws (1,000 per bucket)</v>
      </c>
      <c r="C38" s="233"/>
      <c r="D38" s="121">
        <f>Calculator!G74</f>
        <v>0</v>
      </c>
      <c r="E38" s="122">
        <f>Calculator!F74</f>
        <v>0</v>
      </c>
      <c r="F38" s="123">
        <f t="shared" si="3"/>
        <v>0</v>
      </c>
    </row>
    <row r="39" spans="1:6" ht="20.100000000000001" customHeight="1" x14ac:dyDescent="0.25">
      <c r="A39" s="120" t="str">
        <f>Calculator!A75</f>
        <v>HBWASH1000</v>
      </c>
      <c r="B39" s="232" t="str">
        <f>Calculator!B75</f>
        <v>Washers w/tabs (1,000 per bucket)</v>
      </c>
      <c r="C39" s="233"/>
      <c r="D39" s="121">
        <f>Calculator!G75</f>
        <v>0</v>
      </c>
      <c r="E39" s="122">
        <f>Calculator!F75</f>
        <v>0</v>
      </c>
      <c r="F39" s="123">
        <f t="shared" si="3"/>
        <v>0</v>
      </c>
    </row>
    <row r="40" spans="1:6" ht="20.100000000000001" customHeight="1" x14ac:dyDescent="0.25">
      <c r="A40" s="120" t="str">
        <f>Calculator!A76</f>
        <v>HBSAUSGUN</v>
      </c>
      <c r="B40" s="232" t="str">
        <f>Calculator!B76</f>
        <v>Sausage Gun</v>
      </c>
      <c r="C40" s="233"/>
      <c r="D40" s="121">
        <f>Calculator!G76</f>
        <v>0</v>
      </c>
      <c r="E40" s="122">
        <f>Calculator!F76</f>
        <v>0</v>
      </c>
      <c r="F40" s="123">
        <f t="shared" si="3"/>
        <v>0</v>
      </c>
    </row>
    <row r="41" spans="1:6" ht="20.100000000000001" customHeight="1" x14ac:dyDescent="0.25">
      <c r="A41" s="120" t="str">
        <f>Calculator!A77</f>
        <v>HBFLJCK</v>
      </c>
      <c r="B41" s="232" t="str">
        <f>Calculator!B77</f>
        <v>24 sq ft Floor Lowering Joist Clip Kit</v>
      </c>
      <c r="C41" s="233"/>
      <c r="D41" s="121">
        <f>Calculator!G77</f>
        <v>0</v>
      </c>
      <c r="E41" s="122">
        <f>Calculator!F77</f>
        <v>0</v>
      </c>
      <c r="F41" s="123">
        <f>D41*E41</f>
        <v>0</v>
      </c>
    </row>
    <row r="42" spans="1:6" ht="20.100000000000001" customHeight="1" x14ac:dyDescent="0.25">
      <c r="A42" s="120" t="str">
        <f>Calculator!A78</f>
        <v>HBLDCOUP</v>
      </c>
      <c r="B42" s="232" t="str">
        <f>Calculator!B78</f>
        <v>Line Drain Coupler</v>
      </c>
      <c r="C42" s="233"/>
      <c r="D42" s="121">
        <f>Calculator!G78</f>
        <v>0</v>
      </c>
      <c r="E42" s="122">
        <f>Calculator!F78</f>
        <v>0</v>
      </c>
      <c r="F42" s="123">
        <f t="shared" ref="F42:F45" si="5">D42*E42</f>
        <v>0</v>
      </c>
    </row>
    <row r="43" spans="1:6" ht="20.100000000000001" customHeight="1" x14ac:dyDescent="0.25">
      <c r="A43" s="120" t="str">
        <f>Calculator!A79</f>
        <v>HBLDSLOTEXT</v>
      </c>
      <c r="B43" s="232" t="str">
        <f>Calculator!B79</f>
        <v>Line Drain Slot Extender Stick</v>
      </c>
      <c r="C43" s="233"/>
      <c r="D43" s="121">
        <f>Calculator!G79</f>
        <v>0</v>
      </c>
      <c r="E43" s="122">
        <f>Calculator!F79</f>
        <v>0</v>
      </c>
      <c r="F43" s="123">
        <f t="shared" si="5"/>
        <v>0</v>
      </c>
    </row>
    <row r="44" spans="1:6" ht="20.100000000000001" customHeight="1" x14ac:dyDescent="0.25">
      <c r="A44" s="120" t="str">
        <f>Calculator!A80</f>
        <v>HBINSHADOW</v>
      </c>
      <c r="B44" s="232" t="str">
        <f>Calculator!B80</f>
        <v>IN-Shadow Trim (2 pcs)</v>
      </c>
      <c r="C44" s="233"/>
      <c r="D44" s="121">
        <f>Calculator!G80</f>
        <v>0</v>
      </c>
      <c r="E44" s="122">
        <f>Calculator!F80</f>
        <v>0</v>
      </c>
      <c r="F44" s="123">
        <f t="shared" ref="F44" si="6">D44*E44</f>
        <v>0</v>
      </c>
    </row>
    <row r="45" spans="1:6" ht="20.100000000000001" customHeight="1" x14ac:dyDescent="0.25">
      <c r="A45" s="120" t="str">
        <f>Calculator!A81</f>
        <v>HBINSI38</v>
      </c>
      <c r="B45" s="232" t="str">
        <f>Calculator!B81</f>
        <v>3/8" IN-Sight Trim (2 pcs)</v>
      </c>
      <c r="C45" s="233"/>
      <c r="D45" s="121">
        <f>Calculator!G81</f>
        <v>0</v>
      </c>
      <c r="E45" s="122">
        <f>Calculator!F81</f>
        <v>0</v>
      </c>
      <c r="F45" s="123">
        <f t="shared" si="5"/>
        <v>0</v>
      </c>
    </row>
    <row r="46" spans="1:6" s="125" customFormat="1" ht="26.25" customHeight="1" x14ac:dyDescent="0.25">
      <c r="A46" s="238" t="s">
        <v>125</v>
      </c>
      <c r="B46" s="239"/>
      <c r="C46" s="239"/>
      <c r="D46" s="239"/>
      <c r="E46" s="240"/>
      <c r="F46" s="124">
        <f>SUM(F18:F45)</f>
        <v>0</v>
      </c>
    </row>
    <row r="48" spans="1:6" ht="15" customHeight="1" x14ac:dyDescent="0.25">
      <c r="A48" s="127" t="s">
        <v>134</v>
      </c>
    </row>
    <row r="49" spans="1:6" ht="15" customHeight="1" x14ac:dyDescent="0.25">
      <c r="A49" s="237"/>
      <c r="B49" s="237"/>
      <c r="C49" s="237"/>
      <c r="D49" s="237"/>
      <c r="E49" s="237"/>
      <c r="F49" s="237"/>
    </row>
    <row r="50" spans="1:6" ht="15" customHeight="1" x14ac:dyDescent="0.25">
      <c r="A50" s="237"/>
      <c r="B50" s="237"/>
      <c r="C50" s="237"/>
      <c r="D50" s="237"/>
      <c r="E50" s="237"/>
      <c r="F50" s="237"/>
    </row>
    <row r="51" spans="1:6" ht="15" customHeight="1" x14ac:dyDescent="0.25">
      <c r="A51" s="237"/>
      <c r="B51" s="237"/>
      <c r="C51" s="237"/>
      <c r="D51" s="237"/>
      <c r="E51" s="237"/>
      <c r="F51" s="237"/>
    </row>
    <row r="52" spans="1:6" ht="15" customHeight="1" x14ac:dyDescent="0.25">
      <c r="A52" s="237"/>
      <c r="B52" s="237"/>
      <c r="C52" s="237"/>
      <c r="D52" s="237"/>
      <c r="E52" s="237"/>
      <c r="F52" s="237"/>
    </row>
    <row r="53" spans="1:6" ht="15" customHeight="1" x14ac:dyDescent="0.25">
      <c r="A53" s="237"/>
      <c r="B53" s="237"/>
      <c r="C53" s="237"/>
      <c r="D53" s="237"/>
      <c r="E53" s="237"/>
      <c r="F53" s="237"/>
    </row>
    <row r="54" spans="1:6" ht="15" customHeight="1" x14ac:dyDescent="0.25">
      <c r="A54" s="237"/>
      <c r="B54" s="237"/>
      <c r="C54" s="237"/>
      <c r="D54" s="237"/>
      <c r="E54" s="237"/>
      <c r="F54" s="237"/>
    </row>
    <row r="57" spans="1:6" ht="15" x14ac:dyDescent="0.25">
      <c r="B57" s="236" t="s">
        <v>174</v>
      </c>
      <c r="C57" s="236"/>
    </row>
  </sheetData>
  <sheetProtection algorithmName="SHA-512" hashValue="rMZFhNvERb7e5/fLF3T79ycrHSVDob+/Fy/Wxan252OG6jdr/78C+YI4wHvyaCqjaT1L99ETZe1JozbSIbeuiQ==" saltValue="nVvljI7gA2BHYz6o8U3vIw==" spinCount="100000" sheet="1" objects="1" scenarios="1" selectLockedCells="1"/>
  <mergeCells count="49">
    <mergeCell ref="E1:F1"/>
    <mergeCell ref="E2:F2"/>
    <mergeCell ref="E3:F3"/>
    <mergeCell ref="E4:F4"/>
    <mergeCell ref="B23:C23"/>
    <mergeCell ref="D10:F10"/>
    <mergeCell ref="D12:F12"/>
    <mergeCell ref="D13:F13"/>
    <mergeCell ref="D14:F14"/>
    <mergeCell ref="D15:F15"/>
    <mergeCell ref="D8:F8"/>
    <mergeCell ref="B18:C18"/>
    <mergeCell ref="B21:C21"/>
    <mergeCell ref="D11:F11"/>
    <mergeCell ref="D9:F9"/>
    <mergeCell ref="B20:C20"/>
    <mergeCell ref="A1:B1"/>
    <mergeCell ref="A2:B2"/>
    <mergeCell ref="A3:B3"/>
    <mergeCell ref="A4:B4"/>
    <mergeCell ref="B17:C17"/>
    <mergeCell ref="B57:C57"/>
    <mergeCell ref="A49:F54"/>
    <mergeCell ref="B24:C24"/>
    <mergeCell ref="A46:E46"/>
    <mergeCell ref="B33:C33"/>
    <mergeCell ref="B26:C26"/>
    <mergeCell ref="B27:C27"/>
    <mergeCell ref="B28:C28"/>
    <mergeCell ref="B29:C29"/>
    <mergeCell ref="B30:C30"/>
    <mergeCell ref="B31:C31"/>
    <mergeCell ref="B44:C44"/>
    <mergeCell ref="B42:C42"/>
    <mergeCell ref="B43:C43"/>
    <mergeCell ref="B45:C45"/>
    <mergeCell ref="B41:C41"/>
    <mergeCell ref="E5:F5"/>
    <mergeCell ref="B22:C22"/>
    <mergeCell ref="B25:C25"/>
    <mergeCell ref="B32:C32"/>
    <mergeCell ref="B40:C40"/>
    <mergeCell ref="B34:C34"/>
    <mergeCell ref="B35:C35"/>
    <mergeCell ref="B38:C38"/>
    <mergeCell ref="B39:C39"/>
    <mergeCell ref="B36:C36"/>
    <mergeCell ref="B37:C37"/>
    <mergeCell ref="B19:C19"/>
  </mergeCells>
  <conditionalFormatting sqref="A18:F18">
    <cfRule type="expression" dxfId="29" priority="37">
      <formula>$D$18=0</formula>
    </cfRule>
  </conditionalFormatting>
  <conditionalFormatting sqref="A19:F19">
    <cfRule type="expression" dxfId="28" priority="3">
      <formula>$D$19=0</formula>
    </cfRule>
  </conditionalFormatting>
  <conditionalFormatting sqref="A20:F20">
    <cfRule type="expression" dxfId="27" priority="2">
      <formula>$D$20=0</formula>
    </cfRule>
  </conditionalFormatting>
  <conditionalFormatting sqref="A21:F21">
    <cfRule type="expression" dxfId="26" priority="36">
      <formula>$D$21=0</formula>
    </cfRule>
  </conditionalFormatting>
  <conditionalFormatting sqref="A22:F22">
    <cfRule type="expression" dxfId="25" priority="16">
      <formula>$D$22&lt;1</formula>
    </cfRule>
  </conditionalFormatting>
  <conditionalFormatting sqref="A23:F23">
    <cfRule type="expression" dxfId="24" priority="35">
      <formula>$D$23=0</formula>
    </cfRule>
  </conditionalFormatting>
  <conditionalFormatting sqref="A24:F24">
    <cfRule type="expression" dxfId="23" priority="34">
      <formula>$D$24=0</formula>
    </cfRule>
  </conditionalFormatting>
  <conditionalFormatting sqref="A25:F25">
    <cfRule type="expression" dxfId="22" priority="18">
      <formula>$D$25=0</formula>
    </cfRule>
  </conditionalFormatting>
  <conditionalFormatting sqref="A26:F26">
    <cfRule type="expression" dxfId="21" priority="33">
      <formula>$D$26=0</formula>
    </cfRule>
  </conditionalFormatting>
  <conditionalFormatting sqref="A27:F27">
    <cfRule type="expression" dxfId="20" priority="32">
      <formula>$D$27=0</formula>
    </cfRule>
  </conditionalFormatting>
  <conditionalFormatting sqref="A28:F28">
    <cfRule type="expression" dxfId="19" priority="31">
      <formula>$D$28=0</formula>
    </cfRule>
  </conditionalFormatting>
  <conditionalFormatting sqref="A29:F29">
    <cfRule type="expression" dxfId="18" priority="30">
      <formula>$D$29=0</formula>
    </cfRule>
  </conditionalFormatting>
  <conditionalFormatting sqref="A30:F30">
    <cfRule type="expression" dxfId="17" priority="29">
      <formula>$D$30=0</formula>
    </cfRule>
  </conditionalFormatting>
  <conditionalFormatting sqref="A31:F31">
    <cfRule type="expression" dxfId="16" priority="28">
      <formula>$D$31=0</formula>
    </cfRule>
  </conditionalFormatting>
  <conditionalFormatting sqref="A32:F32">
    <cfRule type="expression" dxfId="15" priority="27">
      <formula>$D$32=0</formula>
    </cfRule>
  </conditionalFormatting>
  <conditionalFormatting sqref="A33:F33">
    <cfRule type="expression" dxfId="14" priority="26">
      <formula>$D$33=0</formula>
    </cfRule>
  </conditionalFormatting>
  <conditionalFormatting sqref="A34:F34">
    <cfRule type="expression" dxfId="13" priority="25">
      <formula>$D$34&lt;1</formula>
    </cfRule>
  </conditionalFormatting>
  <conditionalFormatting sqref="A35:F35">
    <cfRule type="expression" dxfId="12" priority="9">
      <formula>$D$35&lt;1</formula>
    </cfRule>
  </conditionalFormatting>
  <conditionalFormatting sqref="A36:F36">
    <cfRule type="expression" dxfId="11" priority="12">
      <formula>$D$36&lt;1</formula>
    </cfRule>
  </conditionalFormatting>
  <conditionalFormatting sqref="A37:F37">
    <cfRule type="expression" dxfId="10" priority="11">
      <formula>$D$37&lt;1</formula>
    </cfRule>
  </conditionalFormatting>
  <conditionalFormatting sqref="A38:F38">
    <cfRule type="expression" dxfId="9" priority="23">
      <formula>$D$38&lt;1</formula>
    </cfRule>
  </conditionalFormatting>
  <conditionalFormatting sqref="A39:F39">
    <cfRule type="expression" dxfId="8" priority="22">
      <formula>$D$39&lt;1</formula>
    </cfRule>
  </conditionalFormatting>
  <conditionalFormatting sqref="A40:F40">
    <cfRule type="expression" dxfId="7" priority="21">
      <formula>$D$40&lt;1</formula>
    </cfRule>
  </conditionalFormatting>
  <conditionalFormatting sqref="A41:F41">
    <cfRule type="expression" dxfId="6" priority="17">
      <formula>$D$41&lt;1</formula>
    </cfRule>
  </conditionalFormatting>
  <conditionalFormatting sqref="A42:F42">
    <cfRule type="expression" dxfId="5" priority="8">
      <formula>$D$42&lt;1</formula>
    </cfRule>
  </conditionalFormatting>
  <conditionalFormatting sqref="A43:F43">
    <cfRule type="expression" dxfId="4" priority="7">
      <formula>$D$43&lt;1</formula>
    </cfRule>
  </conditionalFormatting>
  <conditionalFormatting sqref="A44:F44">
    <cfRule type="expression" dxfId="3" priority="1">
      <formula>$D$44=0</formula>
    </cfRule>
  </conditionalFormatting>
  <conditionalFormatting sqref="A45:F45">
    <cfRule type="expression" dxfId="2" priority="6">
      <formula>$D$45&lt;1</formula>
    </cfRule>
  </conditionalFormatting>
  <conditionalFormatting sqref="B8">
    <cfRule type="expression" dxfId="1" priority="19">
      <formula>0</formula>
    </cfRule>
  </conditionalFormatting>
  <conditionalFormatting sqref="D8:F8">
    <cfRule type="expression" dxfId="0" priority="55">
      <formula>$D$8=#REF!</formula>
    </cfRule>
  </conditionalFormatting>
  <printOptions horizontalCentered="1"/>
  <pageMargins left="0.25" right="0.25" top="0.75" bottom="0.75" header="0.3" footer="0.3"/>
  <pageSetup scale="68" orientation="portrait" r:id="rId1"/>
  <headerFooter>
    <oddFooter>&amp;LRevised 09.09.21&amp;R&amp;F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2"/>
  <sheetViews>
    <sheetView zoomScaleNormal="100" workbookViewId="0">
      <selection activeCell="E20" sqref="E20"/>
    </sheetView>
  </sheetViews>
  <sheetFormatPr defaultRowHeight="15" x14ac:dyDescent="0.25"/>
  <cols>
    <col min="1" max="1" width="21.42578125" customWidth="1"/>
    <col min="2" max="2" width="45.85546875" customWidth="1"/>
    <col min="3" max="3" width="20.85546875" hidden="1" customWidth="1"/>
    <col min="4" max="4" width="17.42578125" customWidth="1"/>
    <col min="5" max="5" width="52.28515625" customWidth="1"/>
    <col min="6" max="6" width="9.140625" style="40" customWidth="1"/>
    <col min="7" max="7" width="10.5703125" bestFit="1" customWidth="1"/>
  </cols>
  <sheetData>
    <row r="1" spans="1:6" s="47" customFormat="1" x14ac:dyDescent="0.25">
      <c r="A1" s="50" t="s">
        <v>68</v>
      </c>
      <c r="B1" s="42" t="s">
        <v>69</v>
      </c>
      <c r="C1" s="69"/>
      <c r="D1" s="51" t="s">
        <v>67</v>
      </c>
    </row>
    <row r="2" spans="1:6" hidden="1" x14ac:dyDescent="0.25">
      <c r="C2" s="40"/>
      <c r="F2"/>
    </row>
    <row r="3" spans="1:6" x14ac:dyDescent="0.25">
      <c r="A3" s="43" t="s">
        <v>95</v>
      </c>
      <c r="B3" s="43" t="s">
        <v>99</v>
      </c>
      <c r="C3" s="70"/>
      <c r="D3" s="142"/>
      <c r="F3"/>
    </row>
    <row r="4" spans="1:6" x14ac:dyDescent="0.25">
      <c r="A4" t="s">
        <v>94</v>
      </c>
      <c r="B4" t="s">
        <v>98</v>
      </c>
      <c r="C4" s="40"/>
      <c r="D4" s="142"/>
      <c r="F4"/>
    </row>
    <row r="5" spans="1:6" x14ac:dyDescent="0.25">
      <c r="A5" t="s">
        <v>100</v>
      </c>
      <c r="B5" t="s">
        <v>101</v>
      </c>
      <c r="C5" s="40"/>
      <c r="D5" s="142"/>
      <c r="F5"/>
    </row>
    <row r="6" spans="1:6" x14ac:dyDescent="0.25">
      <c r="A6" t="s">
        <v>187</v>
      </c>
      <c r="B6" t="s">
        <v>260</v>
      </c>
      <c r="C6" s="40"/>
      <c r="D6" s="142"/>
      <c r="F6"/>
    </row>
    <row r="7" spans="1:6" x14ac:dyDescent="0.25">
      <c r="A7" t="s">
        <v>261</v>
      </c>
      <c r="B7" t="s">
        <v>248</v>
      </c>
      <c r="C7" s="40"/>
      <c r="D7" s="142"/>
      <c r="F7"/>
    </row>
    <row r="8" spans="1:6" x14ac:dyDescent="0.25">
      <c r="A8" t="s">
        <v>266</v>
      </c>
      <c r="B8" t="s">
        <v>249</v>
      </c>
      <c r="C8" s="40"/>
      <c r="D8" s="142"/>
      <c r="F8"/>
    </row>
    <row r="9" spans="1:6" x14ac:dyDescent="0.25">
      <c r="A9" t="s">
        <v>32</v>
      </c>
      <c r="B9" t="s">
        <v>65</v>
      </c>
      <c r="C9" s="40"/>
      <c r="D9" s="142"/>
      <c r="F9"/>
    </row>
    <row r="10" spans="1:6" x14ac:dyDescent="0.25">
      <c r="A10" t="s">
        <v>33</v>
      </c>
      <c r="B10" t="s">
        <v>66</v>
      </c>
      <c r="C10" s="40"/>
      <c r="D10" s="142"/>
      <c r="F10"/>
    </row>
    <row r="11" spans="1:6" x14ac:dyDescent="0.25">
      <c r="A11" t="s">
        <v>183</v>
      </c>
      <c r="B11" t="s">
        <v>184</v>
      </c>
      <c r="C11" s="40"/>
      <c r="D11" s="142"/>
      <c r="F11"/>
    </row>
    <row r="12" spans="1:6" x14ac:dyDescent="0.25">
      <c r="A12" t="s">
        <v>247</v>
      </c>
      <c r="B12" t="s">
        <v>245</v>
      </c>
      <c r="C12" s="40"/>
      <c r="D12" s="142"/>
      <c r="F12"/>
    </row>
    <row r="13" spans="1:6" x14ac:dyDescent="0.25">
      <c r="A13" t="s">
        <v>263</v>
      </c>
      <c r="B13" t="s">
        <v>264</v>
      </c>
      <c r="C13" s="40"/>
      <c r="D13" s="142"/>
      <c r="F13"/>
    </row>
    <row r="14" spans="1:6" x14ac:dyDescent="0.25">
      <c r="A14" t="s">
        <v>302</v>
      </c>
      <c r="B14" t="s">
        <v>315</v>
      </c>
      <c r="C14" s="40">
        <f>3*3</f>
        <v>9</v>
      </c>
      <c r="D14" s="142"/>
      <c r="F14"/>
    </row>
    <row r="15" spans="1:6" x14ac:dyDescent="0.25">
      <c r="A15" t="s">
        <v>303</v>
      </c>
      <c r="B15" t="s">
        <v>316</v>
      </c>
      <c r="C15" s="40">
        <f>3*4</f>
        <v>12</v>
      </c>
      <c r="D15" s="142"/>
      <c r="F15"/>
    </row>
    <row r="16" spans="1:6" x14ac:dyDescent="0.25">
      <c r="A16" t="s">
        <v>304</v>
      </c>
      <c r="B16" t="s">
        <v>317</v>
      </c>
      <c r="C16" s="40">
        <f>3*5</f>
        <v>15</v>
      </c>
      <c r="D16" s="142"/>
      <c r="F16"/>
    </row>
    <row r="17" spans="1:6" x14ac:dyDescent="0.25">
      <c r="A17" t="s">
        <v>305</v>
      </c>
      <c r="B17" t="s">
        <v>318</v>
      </c>
      <c r="C17" s="40">
        <f>3*6</f>
        <v>18</v>
      </c>
      <c r="D17" s="142"/>
      <c r="F17"/>
    </row>
    <row r="18" spans="1:6" x14ac:dyDescent="0.25">
      <c r="A18" t="s">
        <v>306</v>
      </c>
      <c r="B18" t="s">
        <v>327</v>
      </c>
      <c r="C18" s="40">
        <f>3*6</f>
        <v>18</v>
      </c>
      <c r="D18" s="142"/>
      <c r="F18"/>
    </row>
    <row r="19" spans="1:6" x14ac:dyDescent="0.25">
      <c r="A19" t="s">
        <v>307</v>
      </c>
      <c r="B19" t="s">
        <v>319</v>
      </c>
      <c r="C19" s="40">
        <f>4*4</f>
        <v>16</v>
      </c>
      <c r="D19" s="142"/>
      <c r="F19"/>
    </row>
    <row r="20" spans="1:6" x14ac:dyDescent="0.25">
      <c r="A20" t="s">
        <v>308</v>
      </c>
      <c r="B20" t="s">
        <v>320</v>
      </c>
      <c r="C20" s="40">
        <f>4*5</f>
        <v>20</v>
      </c>
      <c r="D20" s="142"/>
      <c r="F20"/>
    </row>
    <row r="21" spans="1:6" x14ac:dyDescent="0.25">
      <c r="A21" t="s">
        <v>309</v>
      </c>
      <c r="B21" t="s">
        <v>321</v>
      </c>
      <c r="C21" s="40">
        <f>4*6</f>
        <v>24</v>
      </c>
      <c r="D21" s="142"/>
      <c r="F21"/>
    </row>
    <row r="22" spans="1:6" x14ac:dyDescent="0.25">
      <c r="A22" t="s">
        <v>310</v>
      </c>
      <c r="B22" t="s">
        <v>322</v>
      </c>
      <c r="C22" s="40">
        <f>4*7</f>
        <v>28</v>
      </c>
      <c r="D22" s="142"/>
      <c r="F22"/>
    </row>
    <row r="23" spans="1:6" x14ac:dyDescent="0.25">
      <c r="A23" t="s">
        <v>311</v>
      </c>
      <c r="B23" t="s">
        <v>323</v>
      </c>
      <c r="C23" s="40">
        <f>5*5</f>
        <v>25</v>
      </c>
      <c r="D23" s="142"/>
      <c r="F23"/>
    </row>
    <row r="24" spans="1:6" x14ac:dyDescent="0.25">
      <c r="A24" t="s">
        <v>312</v>
      </c>
      <c r="B24" t="s">
        <v>324</v>
      </c>
      <c r="C24" s="40">
        <f>5*6</f>
        <v>30</v>
      </c>
      <c r="D24" s="142"/>
      <c r="F24"/>
    </row>
    <row r="25" spans="1:6" x14ac:dyDescent="0.25">
      <c r="A25" t="s">
        <v>313</v>
      </c>
      <c r="B25" t="s">
        <v>325</v>
      </c>
      <c r="C25" s="40">
        <f>5*7</f>
        <v>35</v>
      </c>
      <c r="D25" s="142"/>
      <c r="F25"/>
    </row>
    <row r="26" spans="1:6" x14ac:dyDescent="0.25">
      <c r="A26" t="s">
        <v>314</v>
      </c>
      <c r="B26" t="s">
        <v>326</v>
      </c>
      <c r="C26" s="40">
        <f>6*6</f>
        <v>36</v>
      </c>
      <c r="D26" s="142"/>
      <c r="F26"/>
    </row>
    <row r="27" spans="1:6" x14ac:dyDescent="0.25">
      <c r="A27" t="s">
        <v>328</v>
      </c>
      <c r="B27" t="s">
        <v>332</v>
      </c>
      <c r="C27" s="40">
        <f>1*6</f>
        <v>6</v>
      </c>
      <c r="D27" s="142"/>
      <c r="F27"/>
    </row>
    <row r="28" spans="1:6" x14ac:dyDescent="0.25">
      <c r="A28" t="s">
        <v>329</v>
      </c>
      <c r="B28" t="s">
        <v>333</v>
      </c>
      <c r="C28" s="40">
        <f>2*4</f>
        <v>8</v>
      </c>
      <c r="D28" s="142"/>
      <c r="F28"/>
    </row>
    <row r="29" spans="1:6" x14ac:dyDescent="0.25">
      <c r="A29" t="s">
        <v>330</v>
      </c>
      <c r="B29" t="s">
        <v>331</v>
      </c>
      <c r="C29" s="40"/>
      <c r="D29" s="142"/>
      <c r="F29"/>
    </row>
    <row r="30" spans="1:6" x14ac:dyDescent="0.25">
      <c r="A30" t="s">
        <v>86</v>
      </c>
      <c r="B30" t="s">
        <v>89</v>
      </c>
      <c r="C30" s="40"/>
      <c r="D30" s="142"/>
      <c r="F30"/>
    </row>
    <row r="31" spans="1:6" x14ac:dyDescent="0.25">
      <c r="A31" t="s">
        <v>88</v>
      </c>
      <c r="B31" t="s">
        <v>91</v>
      </c>
      <c r="C31" s="40"/>
      <c r="D31" s="142"/>
      <c r="F31"/>
    </row>
    <row r="32" spans="1:6" x14ac:dyDescent="0.25">
      <c r="A32" t="s">
        <v>87</v>
      </c>
      <c r="B32" t="s">
        <v>90</v>
      </c>
      <c r="C32" s="40"/>
      <c r="D32" s="142"/>
      <c r="F32"/>
    </row>
    <row r="33" spans="1:6" x14ac:dyDescent="0.25">
      <c r="A33" t="s">
        <v>84</v>
      </c>
      <c r="B33" t="s">
        <v>82</v>
      </c>
      <c r="C33" s="40"/>
      <c r="D33" s="142"/>
      <c r="F33"/>
    </row>
    <row r="34" spans="1:6" x14ac:dyDescent="0.25">
      <c r="A34" t="s">
        <v>85</v>
      </c>
      <c r="B34" t="s">
        <v>83</v>
      </c>
      <c r="C34" s="40"/>
      <c r="D34" s="142"/>
      <c r="F34"/>
    </row>
    <row r="35" spans="1:6" x14ac:dyDescent="0.25">
      <c r="A35" t="s">
        <v>152</v>
      </c>
      <c r="B35" t="s">
        <v>336</v>
      </c>
      <c r="C35" s="40"/>
      <c r="D35" s="142"/>
      <c r="F35"/>
    </row>
    <row r="36" spans="1:6" x14ac:dyDescent="0.25">
      <c r="A36" t="s">
        <v>93</v>
      </c>
      <c r="B36" t="s">
        <v>97</v>
      </c>
      <c r="C36" s="40"/>
      <c r="D36" s="142"/>
      <c r="F36"/>
    </row>
    <row r="37" spans="1:6" x14ac:dyDescent="0.25">
      <c r="A37" t="s">
        <v>92</v>
      </c>
      <c r="B37" t="s">
        <v>96</v>
      </c>
      <c r="C37" s="40"/>
      <c r="D37" s="142"/>
      <c r="F37"/>
    </row>
    <row r="38" spans="1:6" x14ac:dyDescent="0.25">
      <c r="A38" t="s">
        <v>361</v>
      </c>
      <c r="B38" t="s">
        <v>363</v>
      </c>
      <c r="C38" s="72">
        <f>D38/5</f>
        <v>0</v>
      </c>
      <c r="D38" s="142"/>
      <c r="F38"/>
    </row>
    <row r="39" spans="1:6" x14ac:dyDescent="0.25">
      <c r="A39" t="s">
        <v>362</v>
      </c>
      <c r="B39" t="s">
        <v>364</v>
      </c>
      <c r="C39" s="72">
        <f>D39/7</f>
        <v>0</v>
      </c>
      <c r="D39" s="142"/>
      <c r="F39"/>
    </row>
    <row r="40" spans="1:6" x14ac:dyDescent="0.25">
      <c r="A40" t="s">
        <v>270</v>
      </c>
      <c r="B40" t="s">
        <v>272</v>
      </c>
      <c r="C40" s="72">
        <f>D40/5</f>
        <v>0</v>
      </c>
      <c r="D40" s="142"/>
      <c r="F40"/>
    </row>
    <row r="41" spans="1:6" x14ac:dyDescent="0.25">
      <c r="A41" t="s">
        <v>271</v>
      </c>
      <c r="B41" t="s">
        <v>273</v>
      </c>
      <c r="C41" s="72">
        <f>D41/7</f>
        <v>0</v>
      </c>
      <c r="D41" s="142"/>
      <c r="F41"/>
    </row>
    <row r="42" spans="1:6" x14ac:dyDescent="0.25">
      <c r="A42" t="s">
        <v>149</v>
      </c>
      <c r="B42" t="s">
        <v>151</v>
      </c>
      <c r="C42" s="40"/>
      <c r="D42" s="142"/>
      <c r="F42"/>
    </row>
    <row r="43" spans="1:6" ht="15" customHeight="1" x14ac:dyDescent="0.25">
      <c r="A43" t="s">
        <v>355</v>
      </c>
      <c r="B43" t="s">
        <v>64</v>
      </c>
      <c r="C43" s="40"/>
      <c r="D43" s="142"/>
      <c r="F43"/>
    </row>
    <row r="44" spans="1:6" x14ac:dyDescent="0.25">
      <c r="A44" t="s">
        <v>34</v>
      </c>
      <c r="B44" t="s">
        <v>301</v>
      </c>
      <c r="C44" s="40">
        <f>3*3</f>
        <v>9</v>
      </c>
      <c r="D44" s="142"/>
      <c r="F44"/>
    </row>
    <row r="45" spans="1:6" x14ac:dyDescent="0.25">
      <c r="A45" t="s">
        <v>35</v>
      </c>
      <c r="B45" t="s">
        <v>286</v>
      </c>
      <c r="C45" s="40">
        <f>3*4</f>
        <v>12</v>
      </c>
      <c r="D45" s="142"/>
      <c r="F45"/>
    </row>
    <row r="46" spans="1:6" x14ac:dyDescent="0.25">
      <c r="A46" t="s">
        <v>36</v>
      </c>
      <c r="B46" t="s">
        <v>287</v>
      </c>
      <c r="C46" s="40">
        <f>3*5</f>
        <v>15</v>
      </c>
      <c r="D46" s="142"/>
      <c r="F46"/>
    </row>
    <row r="47" spans="1:6" x14ac:dyDescent="0.25">
      <c r="A47" t="s">
        <v>37</v>
      </c>
      <c r="B47" t="s">
        <v>288</v>
      </c>
      <c r="C47" s="40">
        <f>3*6</f>
        <v>18</v>
      </c>
      <c r="D47" s="142"/>
      <c r="F47"/>
    </row>
    <row r="48" spans="1:6" x14ac:dyDescent="0.25">
      <c r="A48" t="s">
        <v>38</v>
      </c>
      <c r="B48" t="s">
        <v>297</v>
      </c>
      <c r="C48" s="40">
        <f>3*6</f>
        <v>18</v>
      </c>
      <c r="D48" s="142"/>
      <c r="F48"/>
    </row>
    <row r="49" spans="1:6" x14ac:dyDescent="0.25">
      <c r="A49" t="s">
        <v>39</v>
      </c>
      <c r="B49" t="s">
        <v>289</v>
      </c>
      <c r="C49" s="40">
        <f>4*4</f>
        <v>16</v>
      </c>
      <c r="D49" s="142"/>
      <c r="F49"/>
    </row>
    <row r="50" spans="1:6" x14ac:dyDescent="0.25">
      <c r="A50" t="s">
        <v>40</v>
      </c>
      <c r="B50" t="s">
        <v>290</v>
      </c>
      <c r="C50" s="40">
        <f>4*5</f>
        <v>20</v>
      </c>
      <c r="D50" s="142"/>
      <c r="F50"/>
    </row>
    <row r="51" spans="1:6" x14ac:dyDescent="0.25">
      <c r="A51" t="s">
        <v>41</v>
      </c>
      <c r="B51" t="s">
        <v>291</v>
      </c>
      <c r="C51" s="40">
        <f>4*6</f>
        <v>24</v>
      </c>
      <c r="D51" s="142"/>
      <c r="F51"/>
    </row>
    <row r="52" spans="1:6" x14ac:dyDescent="0.25">
      <c r="A52" t="s">
        <v>42</v>
      </c>
      <c r="B52" t="s">
        <v>292</v>
      </c>
      <c r="C52" s="40">
        <f>4*7</f>
        <v>28</v>
      </c>
      <c r="D52" s="142"/>
      <c r="F52"/>
    </row>
    <row r="53" spans="1:6" x14ac:dyDescent="0.25">
      <c r="A53" t="s">
        <v>43</v>
      </c>
      <c r="B53" t="s">
        <v>293</v>
      </c>
      <c r="C53" s="40">
        <f>5*5</f>
        <v>25</v>
      </c>
      <c r="D53" s="142"/>
      <c r="F53"/>
    </row>
    <row r="54" spans="1:6" x14ac:dyDescent="0.25">
      <c r="A54" t="s">
        <v>44</v>
      </c>
      <c r="B54" t="s">
        <v>294</v>
      </c>
      <c r="C54" s="40">
        <f>5*6</f>
        <v>30</v>
      </c>
      <c r="D54" s="142"/>
      <c r="F54"/>
    </row>
    <row r="55" spans="1:6" x14ac:dyDescent="0.25">
      <c r="A55" t="s">
        <v>45</v>
      </c>
      <c r="B55" t="s">
        <v>295</v>
      </c>
      <c r="C55" s="40">
        <f>5*7</f>
        <v>35</v>
      </c>
      <c r="D55" s="142"/>
      <c r="F55"/>
    </row>
    <row r="56" spans="1:6" x14ac:dyDescent="0.25">
      <c r="A56" t="s">
        <v>46</v>
      </c>
      <c r="B56" t="s">
        <v>296</v>
      </c>
      <c r="C56" s="40">
        <f>6*6</f>
        <v>36</v>
      </c>
      <c r="D56" s="142"/>
      <c r="F56"/>
    </row>
    <row r="57" spans="1:6" x14ac:dyDescent="0.25">
      <c r="A57" t="s">
        <v>282</v>
      </c>
      <c r="B57" t="s">
        <v>300</v>
      </c>
      <c r="C57" s="40">
        <f>3*3</f>
        <v>9</v>
      </c>
      <c r="D57" s="142"/>
      <c r="F57"/>
    </row>
    <row r="58" spans="1:6" x14ac:dyDescent="0.25">
      <c r="A58" t="s">
        <v>334</v>
      </c>
      <c r="B58" t="s">
        <v>298</v>
      </c>
      <c r="C58" s="40">
        <f>1*6</f>
        <v>6</v>
      </c>
      <c r="D58" s="142"/>
      <c r="F58"/>
    </row>
    <row r="59" spans="1:6" x14ac:dyDescent="0.25">
      <c r="A59" t="s">
        <v>335</v>
      </c>
      <c r="B59" t="s">
        <v>299</v>
      </c>
      <c r="C59" s="40">
        <f>2*4</f>
        <v>8</v>
      </c>
      <c r="D59" s="142"/>
      <c r="F59"/>
    </row>
    <row r="60" spans="1:6" x14ac:dyDescent="0.25">
      <c r="A60" t="s">
        <v>102</v>
      </c>
      <c r="B60" t="s">
        <v>352</v>
      </c>
      <c r="C60" s="40"/>
      <c r="D60" s="142"/>
      <c r="F60"/>
    </row>
    <row r="61" spans="1:6" x14ac:dyDescent="0.25">
      <c r="A61" t="s">
        <v>175</v>
      </c>
      <c r="B61" t="s">
        <v>179</v>
      </c>
      <c r="C61" s="40">
        <f>3*5</f>
        <v>15</v>
      </c>
      <c r="D61" s="142"/>
      <c r="F61"/>
    </row>
    <row r="62" spans="1:6" x14ac:dyDescent="0.25">
      <c r="A62" t="s">
        <v>176</v>
      </c>
      <c r="B62" t="s">
        <v>180</v>
      </c>
      <c r="C62" s="40">
        <f>4*6</f>
        <v>24</v>
      </c>
      <c r="D62" s="142"/>
      <c r="F62"/>
    </row>
    <row r="63" spans="1:6" x14ac:dyDescent="0.25">
      <c r="A63" t="s">
        <v>177</v>
      </c>
      <c r="B63" t="s">
        <v>181</v>
      </c>
      <c r="C63" s="40">
        <f>3*5</f>
        <v>15</v>
      </c>
      <c r="D63" s="142"/>
      <c r="F63"/>
    </row>
    <row r="64" spans="1:6" x14ac:dyDescent="0.25">
      <c r="A64" t="s">
        <v>178</v>
      </c>
      <c r="B64" t="s">
        <v>182</v>
      </c>
      <c r="C64" s="40">
        <f>4*6</f>
        <v>24</v>
      </c>
      <c r="D64" s="142"/>
      <c r="F64"/>
    </row>
    <row r="65" spans="1:7" x14ac:dyDescent="0.25">
      <c r="A65" t="s">
        <v>283</v>
      </c>
      <c r="B65" t="s">
        <v>219</v>
      </c>
      <c r="C65" s="40">
        <f>1.5*6</f>
        <v>9</v>
      </c>
      <c r="D65" s="142"/>
      <c r="F65"/>
    </row>
    <row r="66" spans="1:7" x14ac:dyDescent="0.25">
      <c r="A66" t="s">
        <v>284</v>
      </c>
      <c r="B66" t="s">
        <v>199</v>
      </c>
      <c r="C66" s="40">
        <f>1*6</f>
        <v>6</v>
      </c>
      <c r="D66" s="142"/>
      <c r="F66"/>
    </row>
    <row r="67" spans="1:7" x14ac:dyDescent="0.25">
      <c r="A67" t="s">
        <v>220</v>
      </c>
      <c r="B67" t="s">
        <v>230</v>
      </c>
      <c r="C67" s="40">
        <f>3*5</f>
        <v>15</v>
      </c>
      <c r="D67" s="142"/>
      <c r="F67"/>
    </row>
    <row r="68" spans="1:7" x14ac:dyDescent="0.25">
      <c r="A68" t="s">
        <v>221</v>
      </c>
      <c r="B68" t="s">
        <v>231</v>
      </c>
      <c r="C68" s="40">
        <f>4*6</f>
        <v>24</v>
      </c>
      <c r="D68" s="142"/>
      <c r="F68"/>
    </row>
    <row r="69" spans="1:7" x14ac:dyDescent="0.25">
      <c r="A69" t="s">
        <v>222</v>
      </c>
      <c r="B69" t="s">
        <v>232</v>
      </c>
      <c r="C69" s="40">
        <f>3*5</f>
        <v>15</v>
      </c>
      <c r="D69" s="142"/>
      <c r="F69"/>
    </row>
    <row r="70" spans="1:7" x14ac:dyDescent="0.25">
      <c r="A70" t="s">
        <v>223</v>
      </c>
      <c r="B70" t="s">
        <v>234</v>
      </c>
      <c r="C70" s="40">
        <f>4*6</f>
        <v>24</v>
      </c>
      <c r="D70" s="142"/>
      <c r="F70"/>
    </row>
    <row r="71" spans="1:7" x14ac:dyDescent="0.25">
      <c r="A71" t="s">
        <v>285</v>
      </c>
      <c r="B71" t="s">
        <v>233</v>
      </c>
      <c r="C71" s="40">
        <f>1*6</f>
        <v>6</v>
      </c>
      <c r="D71" s="142"/>
      <c r="F71"/>
    </row>
    <row r="72" spans="1:7" x14ac:dyDescent="0.25">
      <c r="A72" t="s">
        <v>150</v>
      </c>
      <c r="B72" t="s">
        <v>154</v>
      </c>
      <c r="C72" s="40"/>
      <c r="D72" s="142"/>
      <c r="F72"/>
    </row>
    <row r="73" spans="1:7" x14ac:dyDescent="0.25">
      <c r="A73" t="s">
        <v>358</v>
      </c>
      <c r="B73" t="s">
        <v>356</v>
      </c>
      <c r="C73" s="40"/>
      <c r="D73" s="142"/>
      <c r="F73"/>
    </row>
    <row r="74" spans="1:7" x14ac:dyDescent="0.25">
      <c r="A74" t="s">
        <v>30</v>
      </c>
      <c r="B74" t="s">
        <v>195</v>
      </c>
      <c r="C74" s="40">
        <f>36*60/144</f>
        <v>15</v>
      </c>
      <c r="D74" s="142"/>
      <c r="F74"/>
    </row>
    <row r="75" spans="1:7" x14ac:dyDescent="0.25">
      <c r="A75" t="s">
        <v>153</v>
      </c>
      <c r="B75" t="s">
        <v>189</v>
      </c>
      <c r="C75" s="40"/>
      <c r="D75" s="142"/>
      <c r="F75"/>
    </row>
    <row r="76" spans="1:7" x14ac:dyDescent="0.25">
      <c r="A76" t="s">
        <v>238</v>
      </c>
      <c r="B76" t="s">
        <v>239</v>
      </c>
      <c r="C76" s="40">
        <f>36*60/144</f>
        <v>15</v>
      </c>
      <c r="D76" s="142"/>
      <c r="F76"/>
    </row>
    <row r="77" spans="1:7" x14ac:dyDescent="0.25">
      <c r="A77" t="s">
        <v>193</v>
      </c>
      <c r="B77" t="s">
        <v>191</v>
      </c>
      <c r="C77" s="40"/>
      <c r="D77" s="142"/>
      <c r="F77"/>
    </row>
    <row r="78" spans="1:7" x14ac:dyDescent="0.25">
      <c r="A78" t="s">
        <v>194</v>
      </c>
      <c r="B78" t="s">
        <v>190</v>
      </c>
      <c r="C78" s="40"/>
      <c r="D78" s="142"/>
      <c r="F78"/>
    </row>
    <row r="79" spans="1:7" x14ac:dyDescent="0.25">
      <c r="A79" s="44" t="s">
        <v>31</v>
      </c>
      <c r="B79" s="44" t="s">
        <v>196</v>
      </c>
      <c r="C79" s="71">
        <f>48*64/144</f>
        <v>21.333333333333332</v>
      </c>
      <c r="D79" s="143"/>
      <c r="F79"/>
    </row>
    <row r="80" spans="1:7" x14ac:dyDescent="0.25">
      <c r="B80" s="148"/>
      <c r="C80" s="148"/>
      <c r="D80" s="148"/>
      <c r="E80" s="148"/>
      <c r="F80" s="148"/>
      <c r="G80" s="148"/>
    </row>
    <row r="81" spans="1:7" x14ac:dyDescent="0.25">
      <c r="A81" s="96" t="s">
        <v>167</v>
      </c>
      <c r="D81" s="147" t="s">
        <v>359</v>
      </c>
      <c r="F81" s="148"/>
      <c r="G81" s="148"/>
    </row>
    <row r="82" spans="1:7" x14ac:dyDescent="0.25">
      <c r="A82" s="97">
        <f ca="1">TODAY()</f>
        <v>45008</v>
      </c>
      <c r="D82" s="149" t="s">
        <v>166</v>
      </c>
      <c r="F82" s="100"/>
      <c r="G82" s="100"/>
    </row>
  </sheetData>
  <sheetProtection selectLockedCells="1"/>
  <sortState xmlns:xlrd2="http://schemas.microsoft.com/office/spreadsheetml/2017/richdata2" ref="A3:I68">
    <sortCondition ref="A2:A68"/>
  </sortState>
  <printOptions horizontalCentered="1"/>
  <pageMargins left="0.25" right="0.25" top="0.75" bottom="0.75" header="0.3" footer="0.3"/>
  <pageSetup scale="58" orientation="portrait" r:id="rId1"/>
  <headerFooter>
    <oddFooter>&amp;LRevised 12.20.22&amp;R&amp;F</oddFooter>
  </headerFooter>
  <ignoredErrors>
    <ignoredError sqref="C6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Calculator</vt:lpstr>
      <vt:lpstr>Materials List</vt:lpstr>
      <vt:lpstr>With Labor</vt:lpstr>
      <vt:lpstr>Layout</vt:lpstr>
      <vt:lpstr>PO</vt:lpstr>
      <vt:lpstr>Values</vt:lpstr>
      <vt:lpstr>Calculator!Print_Area</vt:lpstr>
      <vt:lpstr>Layout!Print_Area</vt:lpstr>
      <vt:lpstr>'Materials List'!Print_Area</vt:lpstr>
      <vt:lpstr>PO!Print_Area</vt:lpstr>
      <vt:lpstr>Values!Print_Area</vt:lpstr>
      <vt:lpstr>'With Labor'!Print_Area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Winter</dc:creator>
  <cp:lastModifiedBy>Patti Winter</cp:lastModifiedBy>
  <cp:lastPrinted>2021-08-02T22:21:30Z</cp:lastPrinted>
  <dcterms:created xsi:type="dcterms:W3CDTF">2015-02-04T22:14:47Z</dcterms:created>
  <dcterms:modified xsi:type="dcterms:W3CDTF">2023-03-23T18:49:37Z</dcterms:modified>
</cp:coreProperties>
</file>